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bgerlach\Downloads\"/>
    </mc:Choice>
  </mc:AlternateContent>
  <xr:revisionPtr revIDLastSave="0" documentId="10_ncr:100000_{7B34A777-361F-41E5-BC21-BFF025C48478}" xr6:coauthVersionLast="31" xr6:coauthVersionMax="31" xr10:uidLastSave="{00000000-0000-0000-0000-000000000000}"/>
  <bookViews>
    <workbookView xWindow="0" yWindow="0" windowWidth="24042" windowHeight="9654" activeTab="4" xr2:uid="{00000000-000D-0000-FFFF-FFFF00000000}"/>
  </bookViews>
  <sheets>
    <sheet name="2018-B" sheetId="1" r:id="rId1"/>
    <sheet name="2018 Overview" sheetId="2" r:id="rId2"/>
    <sheet name="2017-A" sheetId="3" r:id="rId3"/>
    <sheet name="2016-C" sheetId="4" r:id="rId4"/>
    <sheet name="2015-B" sheetId="5" r:id="rId5"/>
    <sheet name="2014-A" sheetId="6" r:id="rId6"/>
    <sheet name="2016 Overview" sheetId="9" r:id="rId7"/>
    <sheet name="2017 Overview" sheetId="10" r:id="rId8"/>
    <sheet name="2018 Communion Assistance" sheetId="11" r:id="rId9"/>
  </sheets>
  <calcPr calcId="179017"/>
</workbook>
</file>

<file path=xl/calcChain.xml><?xml version="1.0" encoding="utf-8"?>
<calcChain xmlns="http://schemas.openxmlformats.org/spreadsheetml/2006/main">
  <c r="D71" i="11" l="1"/>
  <c r="C71" i="11"/>
  <c r="C70" i="11"/>
  <c r="B70" i="11"/>
  <c r="A70" i="11"/>
  <c r="D69" i="11"/>
  <c r="C69" i="11"/>
  <c r="B69" i="11"/>
  <c r="A69" i="11"/>
  <c r="C68" i="11"/>
  <c r="B68" i="11"/>
  <c r="A68" i="11"/>
  <c r="C67" i="11"/>
  <c r="C66" i="11"/>
  <c r="C65" i="11"/>
  <c r="C64" i="11"/>
  <c r="C63" i="11"/>
  <c r="C62" i="11"/>
  <c r="D61" i="11"/>
  <c r="C61" i="11"/>
  <c r="C60" i="11"/>
  <c r="C59" i="11"/>
  <c r="A59" i="11"/>
  <c r="C58" i="11"/>
  <c r="A58" i="11"/>
  <c r="C57" i="11"/>
  <c r="C56" i="11"/>
  <c r="C55" i="11"/>
  <c r="C54" i="11"/>
  <c r="C53" i="11"/>
  <c r="C52" i="11"/>
  <c r="C51" i="11"/>
  <c r="C50" i="11"/>
  <c r="C49" i="11"/>
  <c r="C48" i="11"/>
  <c r="C47" i="11"/>
  <c r="C46" i="11"/>
  <c r="C45" i="11"/>
  <c r="C44" i="11"/>
  <c r="C43" i="11"/>
  <c r="C42" i="11"/>
  <c r="C41" i="11"/>
  <c r="C40" i="11"/>
  <c r="C39" i="11"/>
  <c r="C38" i="11"/>
  <c r="C37" i="11"/>
  <c r="C36" i="11"/>
  <c r="C35" i="11"/>
  <c r="C34" i="11"/>
  <c r="C33" i="11"/>
  <c r="C32" i="11"/>
  <c r="C31" i="11"/>
  <c r="C30" i="11"/>
  <c r="C29" i="11"/>
  <c r="C28" i="11"/>
  <c r="C27" i="11"/>
  <c r="C26" i="11"/>
  <c r="C25" i="11"/>
  <c r="C24" i="11"/>
  <c r="C23" i="11"/>
  <c r="C22" i="11"/>
  <c r="C21" i="11"/>
  <c r="C20" i="11"/>
  <c r="D19" i="11"/>
  <c r="C19" i="11"/>
  <c r="C18" i="11"/>
  <c r="C17" i="11"/>
  <c r="C16" i="11"/>
  <c r="D15" i="11"/>
  <c r="C15" i="11"/>
  <c r="C14" i="11"/>
  <c r="D13" i="11"/>
  <c r="C13" i="11"/>
  <c r="C12" i="11"/>
  <c r="D11" i="11"/>
  <c r="C11" i="11"/>
  <c r="C10" i="11"/>
  <c r="D9" i="11"/>
  <c r="C9" i="11"/>
  <c r="C8" i="11"/>
  <c r="C7" i="11"/>
  <c r="C6" i="11"/>
  <c r="C5" i="11"/>
  <c r="C4" i="11"/>
  <c r="C3" i="11"/>
  <c r="B3" i="11"/>
  <c r="D2" i="11"/>
  <c r="C2" i="11"/>
  <c r="B2" i="11"/>
  <c r="A2" i="11"/>
  <c r="D71" i="6"/>
  <c r="D70" i="6"/>
  <c r="D69" i="6"/>
  <c r="J61" i="6"/>
  <c r="J59" i="6"/>
  <c r="J56" i="6"/>
  <c r="J39" i="6"/>
  <c r="A27" i="6"/>
  <c r="A28" i="6" s="1"/>
  <c r="A29" i="6" s="1"/>
  <c r="A30" i="6" s="1"/>
  <c r="A31" i="6" s="1"/>
  <c r="A32" i="6" s="1"/>
  <c r="A33" i="6" s="1"/>
  <c r="A34" i="6" s="1"/>
  <c r="A35" i="6" s="1"/>
  <c r="A36" i="6" s="1"/>
  <c r="A37" i="6" s="1"/>
  <c r="A38" i="6" s="1"/>
  <c r="A39" i="6" s="1"/>
  <c r="A40" i="6" s="1"/>
  <c r="A42" i="6" s="1"/>
  <c r="A43" i="6" s="1"/>
  <c r="A44" i="6" s="1"/>
  <c r="A45" i="6" s="1"/>
  <c r="A46" i="6" s="1"/>
  <c r="A47" i="6" s="1"/>
  <c r="A48" i="6" s="1"/>
  <c r="A49" i="6" s="1"/>
  <c r="A50" i="6" s="1"/>
  <c r="A51" i="6" s="1"/>
  <c r="A52" i="6" s="1"/>
  <c r="A53" i="6" s="1"/>
  <c r="A56" i="6" s="1"/>
  <c r="A58" i="6" s="1"/>
  <c r="A60" i="6" s="1"/>
  <c r="A62" i="6" s="1"/>
  <c r="A66" i="6" s="1"/>
  <c r="A3" i="6"/>
  <c r="A4" i="6" s="1"/>
  <c r="A5" i="6" s="1"/>
  <c r="A6" i="6" s="1"/>
  <c r="A7" i="6" s="1"/>
  <c r="A8" i="6" s="1"/>
  <c r="A9" i="6" s="1"/>
  <c r="A10" i="6" s="1"/>
  <c r="A11" i="6" s="1"/>
  <c r="A12" i="6" s="1"/>
  <c r="A13" i="6" s="1"/>
  <c r="A14" i="6" s="1"/>
  <c r="A15" i="6" s="1"/>
  <c r="A16" i="6" s="1"/>
  <c r="A20" i="6" s="1"/>
  <c r="A21" i="6" s="1"/>
  <c r="A22" i="6" s="1"/>
  <c r="A23" i="6" s="1"/>
  <c r="A24" i="6" s="1"/>
  <c r="H79" i="5"/>
  <c r="G79" i="5"/>
  <c r="D79" i="5"/>
  <c r="C79" i="5"/>
  <c r="H78" i="5"/>
  <c r="G78" i="5"/>
  <c r="D78" i="5"/>
  <c r="C78" i="5"/>
  <c r="H77" i="5"/>
  <c r="G77" i="5"/>
  <c r="D77" i="5"/>
  <c r="C77" i="5"/>
  <c r="H76" i="5"/>
  <c r="G76" i="5"/>
  <c r="D76" i="5"/>
  <c r="C76" i="5"/>
  <c r="T74" i="5"/>
  <c r="S74" i="5"/>
  <c r="R74" i="5"/>
  <c r="P74" i="5"/>
  <c r="F74" i="5"/>
  <c r="T73" i="5"/>
  <c r="S73" i="5"/>
  <c r="R73" i="5"/>
  <c r="P73" i="5"/>
  <c r="J72" i="5"/>
  <c r="P70" i="5"/>
  <c r="J70" i="5"/>
  <c r="J69" i="5"/>
  <c r="T68" i="5"/>
  <c r="S68" i="5"/>
  <c r="R68" i="5"/>
  <c r="J68" i="5"/>
  <c r="T67" i="5"/>
  <c r="S67" i="5"/>
  <c r="R67" i="5"/>
  <c r="J67" i="5"/>
  <c r="T66" i="5"/>
  <c r="S66" i="5"/>
  <c r="R66" i="5"/>
  <c r="J66" i="5"/>
  <c r="T65" i="5"/>
  <c r="P65" i="5"/>
  <c r="T64" i="5"/>
  <c r="S64" i="5"/>
  <c r="R64" i="5"/>
  <c r="J64" i="5"/>
  <c r="R63" i="5"/>
  <c r="J63" i="5"/>
  <c r="T62" i="5"/>
  <c r="S62" i="5"/>
  <c r="R62" i="5"/>
  <c r="J62" i="5"/>
  <c r="T61" i="5"/>
  <c r="S61" i="5"/>
  <c r="R61" i="5"/>
  <c r="J61" i="5"/>
  <c r="T60" i="5"/>
  <c r="S60" i="5"/>
  <c r="R60" i="5"/>
  <c r="J60" i="5"/>
  <c r="T59" i="5"/>
  <c r="R59" i="5"/>
  <c r="J59" i="5"/>
  <c r="T58" i="5"/>
  <c r="S58" i="5"/>
  <c r="R58" i="5"/>
  <c r="J58" i="5"/>
  <c r="T57" i="5"/>
  <c r="S57" i="5"/>
  <c r="R57" i="5"/>
  <c r="J57" i="5"/>
  <c r="T56" i="5"/>
  <c r="S56" i="5"/>
  <c r="R56" i="5"/>
  <c r="J56" i="5"/>
  <c r="T55" i="5"/>
  <c r="S55" i="5"/>
  <c r="R55" i="5"/>
  <c r="J55" i="5"/>
  <c r="T54" i="5"/>
  <c r="S54" i="5"/>
  <c r="R54" i="5"/>
  <c r="J54" i="5"/>
  <c r="T53" i="5"/>
  <c r="S53" i="5"/>
  <c r="R53" i="5"/>
  <c r="J53" i="5"/>
  <c r="T52" i="5"/>
  <c r="S52" i="5"/>
  <c r="R52" i="5"/>
  <c r="J52" i="5"/>
  <c r="T51" i="5"/>
  <c r="S51" i="5"/>
  <c r="R51" i="5"/>
  <c r="J51" i="5"/>
  <c r="T50" i="5"/>
  <c r="S50" i="5"/>
  <c r="R50" i="5"/>
  <c r="J50" i="5"/>
  <c r="T49" i="5"/>
  <c r="S49" i="5"/>
  <c r="R49" i="5"/>
  <c r="J49" i="5"/>
  <c r="T47" i="5"/>
  <c r="S47" i="5"/>
  <c r="R47" i="5"/>
  <c r="J47" i="5"/>
  <c r="T46" i="5"/>
  <c r="S46" i="5"/>
  <c r="R46" i="5"/>
  <c r="J46" i="5"/>
  <c r="T45" i="5"/>
  <c r="S45" i="5"/>
  <c r="R45" i="5"/>
  <c r="J45" i="5"/>
  <c r="T44" i="5"/>
  <c r="S44" i="5"/>
  <c r="R44" i="5"/>
  <c r="P44" i="5"/>
  <c r="J44" i="5"/>
  <c r="T43" i="5"/>
  <c r="S43" i="5"/>
  <c r="R43" i="5"/>
  <c r="P43" i="5"/>
  <c r="J43" i="5"/>
  <c r="T42" i="5"/>
  <c r="R42" i="5"/>
  <c r="P42" i="5"/>
  <c r="J42" i="5"/>
  <c r="T41" i="5"/>
  <c r="S41" i="5"/>
  <c r="R41" i="5"/>
  <c r="P41" i="5"/>
  <c r="J41" i="5"/>
  <c r="T40" i="5"/>
  <c r="S40" i="5"/>
  <c r="R40" i="5"/>
  <c r="P40" i="5"/>
  <c r="J40" i="5"/>
  <c r="T39" i="5"/>
  <c r="S39" i="5"/>
  <c r="R39" i="5"/>
  <c r="P39" i="5"/>
  <c r="J39" i="5"/>
  <c r="J38" i="5"/>
  <c r="J37" i="5"/>
  <c r="J36" i="5"/>
  <c r="J35" i="5"/>
  <c r="J34" i="5"/>
  <c r="J33" i="5"/>
  <c r="J32" i="5"/>
  <c r="J30" i="5"/>
  <c r="J29" i="5"/>
  <c r="J28" i="5"/>
  <c r="J27" i="5"/>
  <c r="J26" i="5"/>
  <c r="J25" i="5"/>
  <c r="J24" i="5"/>
  <c r="J21" i="5"/>
  <c r="J20" i="5"/>
  <c r="J18" i="5"/>
  <c r="J17" i="5"/>
  <c r="J16" i="5"/>
  <c r="J15" i="5"/>
  <c r="J14" i="5"/>
  <c r="J11" i="5"/>
  <c r="J10" i="5"/>
  <c r="J9" i="5"/>
  <c r="J8" i="5"/>
  <c r="J7" i="5"/>
  <c r="J6" i="5"/>
  <c r="F5" i="5"/>
  <c r="A5" i="5"/>
  <c r="A6" i="5" s="1"/>
  <c r="J4" i="5"/>
  <c r="F4" i="5"/>
  <c r="J3" i="5"/>
  <c r="F3" i="5"/>
  <c r="J2" i="5"/>
  <c r="F2" i="5"/>
  <c r="I80" i="4"/>
  <c r="H80" i="4"/>
  <c r="E80" i="4"/>
  <c r="D80" i="4"/>
  <c r="I79" i="4"/>
  <c r="H79" i="4"/>
  <c r="E79" i="4"/>
  <c r="D79" i="4"/>
  <c r="I78" i="4"/>
  <c r="H78" i="4"/>
  <c r="E78" i="4"/>
  <c r="D78" i="4"/>
  <c r="I77" i="4"/>
  <c r="H77" i="4"/>
  <c r="E77" i="4"/>
  <c r="D77" i="4"/>
  <c r="U75" i="4"/>
  <c r="T75" i="4"/>
  <c r="S75" i="4"/>
  <c r="Q75" i="4"/>
  <c r="A75" i="4"/>
  <c r="G75" i="4" s="1"/>
  <c r="U74" i="4"/>
  <c r="T74" i="4"/>
  <c r="S74" i="4"/>
  <c r="R74" i="4"/>
  <c r="Q74" i="4"/>
  <c r="K74" i="4"/>
  <c r="A74" i="4"/>
  <c r="G74" i="4" s="1"/>
  <c r="U73" i="4"/>
  <c r="T73" i="4"/>
  <c r="S73" i="4"/>
  <c r="Q73" i="4"/>
  <c r="A73" i="4"/>
  <c r="U72" i="4"/>
  <c r="T72" i="4"/>
  <c r="S72" i="4"/>
  <c r="Q72" i="4"/>
  <c r="K72" i="4"/>
  <c r="A72" i="4"/>
  <c r="A71" i="4"/>
  <c r="G71" i="4" s="1"/>
  <c r="V70" i="4"/>
  <c r="U70" i="4"/>
  <c r="T70" i="4"/>
  <c r="S70" i="4"/>
  <c r="Q70" i="4"/>
  <c r="K70" i="4"/>
  <c r="V69" i="4"/>
  <c r="U69" i="4"/>
  <c r="Q69" i="4"/>
  <c r="K69" i="4"/>
  <c r="V68" i="4"/>
  <c r="U68" i="4"/>
  <c r="T68" i="4"/>
  <c r="S68" i="4"/>
  <c r="Q68" i="4"/>
  <c r="K68" i="4"/>
  <c r="V67" i="4"/>
  <c r="U67" i="4"/>
  <c r="Q67" i="4"/>
  <c r="K67" i="4"/>
  <c r="V66" i="4"/>
  <c r="U66" i="4"/>
  <c r="T66" i="4"/>
  <c r="S66" i="4"/>
  <c r="Q66" i="4"/>
  <c r="K66" i="4"/>
  <c r="V65" i="4"/>
  <c r="U65" i="4"/>
  <c r="S65" i="4"/>
  <c r="Q65" i="4"/>
  <c r="K65" i="4"/>
  <c r="V64" i="4"/>
  <c r="U64" i="4"/>
  <c r="T64" i="4"/>
  <c r="S64" i="4"/>
  <c r="Q64" i="4"/>
  <c r="K64" i="4"/>
  <c r="U63" i="4"/>
  <c r="T63" i="4"/>
  <c r="S63" i="4"/>
  <c r="Q63" i="4"/>
  <c r="U62" i="4"/>
  <c r="T62" i="4"/>
  <c r="S62" i="4"/>
  <c r="Q62" i="4"/>
  <c r="K62" i="4"/>
  <c r="V61" i="4"/>
  <c r="U61" i="4"/>
  <c r="T61" i="4"/>
  <c r="S61" i="4"/>
  <c r="Q61" i="4"/>
  <c r="K61" i="4"/>
  <c r="V60" i="4"/>
  <c r="U60" i="4"/>
  <c r="T60" i="4"/>
  <c r="S60" i="4"/>
  <c r="Q60" i="4"/>
  <c r="K60" i="4"/>
  <c r="V59" i="4"/>
  <c r="U59" i="4"/>
  <c r="T59" i="4"/>
  <c r="S59" i="4"/>
  <c r="Q59" i="4"/>
  <c r="K59" i="4"/>
  <c r="V58" i="4"/>
  <c r="U58" i="4"/>
  <c r="T58" i="4"/>
  <c r="S58" i="4"/>
  <c r="Q58" i="4"/>
  <c r="V57" i="4"/>
  <c r="U57" i="4"/>
  <c r="T57" i="4"/>
  <c r="S57" i="4"/>
  <c r="Q57" i="4"/>
  <c r="K57" i="4"/>
  <c r="U56" i="4"/>
  <c r="T56" i="4"/>
  <c r="S56" i="4"/>
  <c r="Q56" i="4"/>
  <c r="K56" i="4"/>
  <c r="V55" i="4"/>
  <c r="U55" i="4"/>
  <c r="T55" i="4"/>
  <c r="S55" i="4"/>
  <c r="Q55" i="4"/>
  <c r="P55" i="4"/>
  <c r="K55" i="4"/>
  <c r="V54" i="4"/>
  <c r="U54" i="4"/>
  <c r="T54" i="4"/>
  <c r="S54" i="4"/>
  <c r="Q54" i="4"/>
  <c r="K54" i="4"/>
  <c r="V53" i="4"/>
  <c r="U53" i="4"/>
  <c r="T53" i="4"/>
  <c r="S53" i="4"/>
  <c r="Q53" i="4"/>
  <c r="K53" i="4"/>
  <c r="V52" i="4"/>
  <c r="U52" i="4"/>
  <c r="T52" i="4"/>
  <c r="S52" i="4"/>
  <c r="Q52" i="4"/>
  <c r="K52" i="4"/>
  <c r="V51" i="4"/>
  <c r="U51" i="4"/>
  <c r="T51" i="4"/>
  <c r="S51" i="4"/>
  <c r="Q51" i="4"/>
  <c r="K51" i="4"/>
  <c r="U50" i="4"/>
  <c r="T50" i="4"/>
  <c r="S50" i="4"/>
  <c r="Q50" i="4"/>
  <c r="K50" i="4"/>
  <c r="G49" i="4"/>
  <c r="V48" i="4"/>
  <c r="U48" i="4"/>
  <c r="T48" i="4"/>
  <c r="S48" i="4"/>
  <c r="Q48" i="4"/>
  <c r="K48" i="4"/>
  <c r="U47" i="4"/>
  <c r="T47" i="4"/>
  <c r="S47" i="4"/>
  <c r="Q47" i="4"/>
  <c r="K47" i="4"/>
  <c r="U46" i="4"/>
  <c r="T46" i="4"/>
  <c r="S46" i="4"/>
  <c r="Q46" i="4"/>
  <c r="K46" i="4"/>
  <c r="U45" i="4"/>
  <c r="T45" i="4"/>
  <c r="S45" i="4"/>
  <c r="Q45" i="4"/>
  <c r="K45" i="4"/>
  <c r="V44" i="4"/>
  <c r="U44" i="4"/>
  <c r="T44" i="4"/>
  <c r="S44" i="4"/>
  <c r="Q44" i="4"/>
  <c r="K44" i="4"/>
  <c r="U43" i="4"/>
  <c r="T43" i="4"/>
  <c r="S43" i="4"/>
  <c r="Q43" i="4"/>
  <c r="K43" i="4"/>
  <c r="U42" i="4"/>
  <c r="T42" i="4"/>
  <c r="S42" i="4"/>
  <c r="Q42" i="4"/>
  <c r="K42" i="4"/>
  <c r="U41" i="4"/>
  <c r="T41" i="4"/>
  <c r="S41" i="4"/>
  <c r="Q41" i="4"/>
  <c r="K41" i="4"/>
  <c r="U40" i="4"/>
  <c r="T40" i="4"/>
  <c r="S40" i="4"/>
  <c r="Q40" i="4"/>
  <c r="K40" i="4"/>
  <c r="U39" i="4"/>
  <c r="T39" i="4"/>
  <c r="S39" i="4"/>
  <c r="Q39" i="4"/>
  <c r="K39" i="4"/>
  <c r="U38" i="4"/>
  <c r="T38" i="4"/>
  <c r="S38" i="4"/>
  <c r="Q38" i="4"/>
  <c r="K38" i="4"/>
  <c r="U37" i="4"/>
  <c r="T37" i="4"/>
  <c r="S37" i="4"/>
  <c r="Q37" i="4"/>
  <c r="K37" i="4"/>
  <c r="U36" i="4"/>
  <c r="T36" i="4"/>
  <c r="S36" i="4"/>
  <c r="Q36" i="4"/>
  <c r="K36" i="4"/>
  <c r="U35" i="4"/>
  <c r="T35" i="4"/>
  <c r="S35" i="4"/>
  <c r="Q35" i="4"/>
  <c r="K35" i="4"/>
  <c r="U34" i="4"/>
  <c r="T34" i="4"/>
  <c r="S34" i="4"/>
  <c r="Q34" i="4"/>
  <c r="K34" i="4"/>
  <c r="G33" i="4"/>
  <c r="U32" i="4"/>
  <c r="T32" i="4"/>
  <c r="S32" i="4"/>
  <c r="K32" i="4"/>
  <c r="U31" i="4"/>
  <c r="T31" i="4"/>
  <c r="S31" i="4"/>
  <c r="K31" i="4"/>
  <c r="U30" i="4"/>
  <c r="T30" i="4"/>
  <c r="S30" i="4"/>
  <c r="K30" i="4"/>
  <c r="U29" i="4"/>
  <c r="T29" i="4"/>
  <c r="S29" i="4"/>
  <c r="Q29" i="4"/>
  <c r="K29" i="4"/>
  <c r="U28" i="4"/>
  <c r="T28" i="4"/>
  <c r="S28" i="4"/>
  <c r="K28" i="4"/>
  <c r="U27" i="4"/>
  <c r="T27" i="4"/>
  <c r="S27" i="4"/>
  <c r="Q27" i="4"/>
  <c r="K27" i="4"/>
  <c r="U26" i="4"/>
  <c r="T26" i="4"/>
  <c r="S26" i="4"/>
  <c r="K26" i="4"/>
  <c r="G26" i="4"/>
  <c r="U25" i="4"/>
  <c r="T25" i="4"/>
  <c r="S25" i="4"/>
  <c r="K25" i="4"/>
  <c r="U24" i="4"/>
  <c r="T24" i="4"/>
  <c r="S24" i="4"/>
  <c r="K24" i="4"/>
  <c r="U23" i="4"/>
  <c r="T23" i="4"/>
  <c r="S23" i="4"/>
  <c r="K23" i="4"/>
  <c r="K22" i="4"/>
  <c r="K21" i="4"/>
  <c r="U20" i="4"/>
  <c r="T20" i="4"/>
  <c r="K20" i="4"/>
  <c r="K19" i="4"/>
  <c r="K18" i="4"/>
  <c r="U17" i="4"/>
  <c r="T17" i="4"/>
  <c r="S17" i="4"/>
  <c r="K17" i="4"/>
  <c r="K16" i="4"/>
  <c r="Q15" i="4"/>
  <c r="K15" i="4"/>
  <c r="K14" i="4"/>
  <c r="T13" i="4"/>
  <c r="S13" i="4"/>
  <c r="K13" i="4"/>
  <c r="K12" i="4"/>
  <c r="U11" i="4"/>
  <c r="T11" i="4"/>
  <c r="S11" i="4"/>
  <c r="Q11" i="4"/>
  <c r="K11" i="4"/>
  <c r="K10" i="4"/>
  <c r="U9" i="4"/>
  <c r="T9" i="4"/>
  <c r="S9" i="4"/>
  <c r="K9" i="4"/>
  <c r="K8" i="4"/>
  <c r="T7" i="4"/>
  <c r="S7" i="4"/>
  <c r="K7" i="4"/>
  <c r="U6" i="4"/>
  <c r="T6" i="4"/>
  <c r="S6" i="4"/>
  <c r="K6" i="4"/>
  <c r="U5" i="4"/>
  <c r="T5" i="4"/>
  <c r="S5" i="4"/>
  <c r="K5" i="4"/>
  <c r="U4" i="4"/>
  <c r="T4" i="4"/>
  <c r="S4" i="4"/>
  <c r="K4" i="4"/>
  <c r="U3" i="4"/>
  <c r="T3" i="4"/>
  <c r="S3" i="4"/>
  <c r="K3" i="4"/>
  <c r="B3" i="4"/>
  <c r="B4" i="4" s="1"/>
  <c r="A2" i="4"/>
  <c r="G2" i="4" s="1"/>
  <c r="W1" i="4"/>
  <c r="D82" i="3"/>
  <c r="D81" i="3"/>
  <c r="D80" i="3"/>
  <c r="U79" i="3"/>
  <c r="D79" i="3"/>
  <c r="D78" i="3"/>
  <c r="X76" i="3"/>
  <c r="W76" i="3"/>
  <c r="V76" i="3"/>
  <c r="U76" i="3"/>
  <c r="S76" i="3"/>
  <c r="A76" i="3"/>
  <c r="H76" i="3" s="1"/>
  <c r="W75" i="3"/>
  <c r="V75" i="3"/>
  <c r="U75" i="3"/>
  <c r="S75" i="3"/>
  <c r="L75" i="3"/>
  <c r="X74" i="3"/>
  <c r="W74" i="3"/>
  <c r="V74" i="3"/>
  <c r="U74" i="3"/>
  <c r="T74" i="3"/>
  <c r="S74" i="3"/>
  <c r="L74" i="3"/>
  <c r="H74" i="3"/>
  <c r="A74" i="3"/>
  <c r="W73" i="3"/>
  <c r="V73" i="3"/>
  <c r="U73" i="3"/>
  <c r="S73" i="3"/>
  <c r="L73" i="3"/>
  <c r="A73" i="3"/>
  <c r="L72" i="3"/>
  <c r="X71" i="3"/>
  <c r="W71" i="3"/>
  <c r="V71" i="3"/>
  <c r="U71" i="3"/>
  <c r="S71" i="3"/>
  <c r="X70" i="3"/>
  <c r="W70" i="3"/>
  <c r="U70" i="3"/>
  <c r="T70" i="3"/>
  <c r="S70" i="3"/>
  <c r="L70" i="3"/>
  <c r="X69" i="3"/>
  <c r="W69" i="3"/>
  <c r="V69" i="3"/>
  <c r="U69" i="3"/>
  <c r="T69" i="3"/>
  <c r="S69" i="3"/>
  <c r="L69" i="3"/>
  <c r="X68" i="3"/>
  <c r="W68" i="3"/>
  <c r="U68" i="3"/>
  <c r="T68" i="3"/>
  <c r="S68" i="3"/>
  <c r="L68" i="3"/>
  <c r="X67" i="3"/>
  <c r="W67" i="3"/>
  <c r="V67" i="3"/>
  <c r="T67" i="3"/>
  <c r="S67" i="3"/>
  <c r="L67" i="3"/>
  <c r="X66" i="3"/>
  <c r="W66" i="3"/>
  <c r="V66" i="3"/>
  <c r="U66" i="3"/>
  <c r="S66" i="3"/>
  <c r="L66" i="3"/>
  <c r="X65" i="3"/>
  <c r="W65" i="3"/>
  <c r="V65" i="3"/>
  <c r="U65" i="3"/>
  <c r="S65" i="3"/>
  <c r="L65" i="3"/>
  <c r="X64" i="3"/>
  <c r="W64" i="3"/>
  <c r="V64" i="3"/>
  <c r="U64" i="3"/>
  <c r="S64" i="3"/>
  <c r="L64" i="3"/>
  <c r="X63" i="3"/>
  <c r="W63" i="3"/>
  <c r="V63" i="3"/>
  <c r="U63" i="3"/>
  <c r="S63" i="3"/>
  <c r="X62" i="3"/>
  <c r="S62" i="3"/>
  <c r="L62" i="3"/>
  <c r="X60" i="3"/>
  <c r="W60" i="3"/>
  <c r="V60" i="3"/>
  <c r="U60" i="3"/>
  <c r="S60" i="3"/>
  <c r="L60" i="3"/>
  <c r="X59" i="3"/>
  <c r="W59" i="3"/>
  <c r="V59" i="3"/>
  <c r="U59" i="3"/>
  <c r="S59" i="3"/>
  <c r="L59" i="3"/>
  <c r="X58" i="3"/>
  <c r="W58" i="3"/>
  <c r="V58" i="3"/>
  <c r="U58" i="3"/>
  <c r="S58" i="3"/>
  <c r="L58" i="3"/>
  <c r="X57" i="3"/>
  <c r="W57" i="3"/>
  <c r="V57" i="3"/>
  <c r="U57" i="3"/>
  <c r="S57" i="3"/>
  <c r="L57" i="3"/>
  <c r="X56" i="3"/>
  <c r="W56" i="3"/>
  <c r="V56" i="3"/>
  <c r="U56" i="3"/>
  <c r="S56" i="3"/>
  <c r="L56" i="3"/>
  <c r="X55" i="3"/>
  <c r="W55" i="3"/>
  <c r="V55" i="3"/>
  <c r="U55" i="3"/>
  <c r="S55" i="3"/>
  <c r="L55" i="3"/>
  <c r="X54" i="3"/>
  <c r="W54" i="3"/>
  <c r="V54" i="3"/>
  <c r="U54" i="3"/>
  <c r="S54" i="3"/>
  <c r="L54" i="3"/>
  <c r="X53" i="3"/>
  <c r="W53" i="3"/>
  <c r="V53" i="3"/>
  <c r="U53" i="3"/>
  <c r="S53" i="3"/>
  <c r="L53" i="3"/>
  <c r="X52" i="3"/>
  <c r="W52" i="3"/>
  <c r="V52" i="3"/>
  <c r="S52" i="3"/>
  <c r="L52" i="3"/>
  <c r="X51" i="3"/>
  <c r="W51" i="3"/>
  <c r="V51" i="3"/>
  <c r="U51" i="3"/>
  <c r="S51" i="3"/>
  <c r="L51" i="3"/>
  <c r="X50" i="3"/>
  <c r="W50" i="3"/>
  <c r="V50" i="3"/>
  <c r="U50" i="3"/>
  <c r="S50" i="3"/>
  <c r="L50" i="3"/>
  <c r="X49" i="3"/>
  <c r="W49" i="3"/>
  <c r="V49" i="3"/>
  <c r="U49" i="3"/>
  <c r="S49" i="3"/>
  <c r="L49" i="3"/>
  <c r="X48" i="3"/>
  <c r="W48" i="3"/>
  <c r="V48" i="3"/>
  <c r="U48" i="3"/>
  <c r="S48" i="3"/>
  <c r="L48" i="3"/>
  <c r="X47" i="3"/>
  <c r="W47" i="3"/>
  <c r="V47" i="3"/>
  <c r="U47" i="3"/>
  <c r="S47" i="3"/>
  <c r="L47" i="3"/>
  <c r="X46" i="3"/>
  <c r="W46" i="3"/>
  <c r="V46" i="3"/>
  <c r="U46" i="3"/>
  <c r="S46" i="3"/>
  <c r="L46" i="3"/>
  <c r="X45" i="3"/>
  <c r="W45" i="3"/>
  <c r="V45" i="3"/>
  <c r="U45" i="3"/>
  <c r="S45" i="3"/>
  <c r="L45" i="3"/>
  <c r="X44" i="3"/>
  <c r="W44" i="3"/>
  <c r="V44" i="3"/>
  <c r="U44" i="3"/>
  <c r="L44" i="3"/>
  <c r="X43" i="3"/>
  <c r="W43" i="3"/>
  <c r="V43" i="3"/>
  <c r="U43" i="3"/>
  <c r="S43" i="3"/>
  <c r="L43" i="3"/>
  <c r="X42" i="3"/>
  <c r="W42" i="3"/>
  <c r="V42" i="3"/>
  <c r="U42" i="3"/>
  <c r="S42" i="3"/>
  <c r="L42" i="3"/>
  <c r="X41" i="3"/>
  <c r="W41" i="3"/>
  <c r="V41" i="3"/>
  <c r="U41" i="3"/>
  <c r="S41" i="3"/>
  <c r="L41" i="3"/>
  <c r="X40" i="3"/>
  <c r="W40" i="3"/>
  <c r="V40" i="3"/>
  <c r="U40" i="3"/>
  <c r="S40" i="3"/>
  <c r="L40" i="3"/>
  <c r="X39" i="3"/>
  <c r="W39" i="3"/>
  <c r="V39" i="3"/>
  <c r="U39" i="3"/>
  <c r="S39" i="3"/>
  <c r="L39" i="3"/>
  <c r="X38" i="3"/>
  <c r="W38" i="3"/>
  <c r="V38" i="3"/>
  <c r="U38" i="3"/>
  <c r="S38" i="3"/>
  <c r="L38" i="3"/>
  <c r="X37" i="3"/>
  <c r="W37" i="3"/>
  <c r="V37" i="3"/>
  <c r="U37" i="3"/>
  <c r="S37" i="3"/>
  <c r="L37" i="3"/>
  <c r="X36" i="3"/>
  <c r="W36" i="3"/>
  <c r="V36" i="3"/>
  <c r="U36" i="3"/>
  <c r="S36" i="3"/>
  <c r="L36" i="3"/>
  <c r="X35" i="3"/>
  <c r="W35" i="3"/>
  <c r="V35" i="3"/>
  <c r="U35" i="3"/>
  <c r="S35" i="3"/>
  <c r="L35" i="3"/>
  <c r="X33" i="3"/>
  <c r="W33" i="3"/>
  <c r="V33" i="3"/>
  <c r="U33" i="3"/>
  <c r="S33" i="3"/>
  <c r="W32" i="3"/>
  <c r="V32" i="3"/>
  <c r="U32" i="3"/>
  <c r="S32" i="3"/>
  <c r="L32" i="3"/>
  <c r="X31" i="3"/>
  <c r="W31" i="3"/>
  <c r="V31" i="3"/>
  <c r="U31" i="3"/>
  <c r="S31" i="3"/>
  <c r="L31" i="3"/>
  <c r="X30" i="3"/>
  <c r="W30" i="3"/>
  <c r="V30" i="3"/>
  <c r="U30" i="3"/>
  <c r="S30" i="3"/>
  <c r="L30" i="3"/>
  <c r="X29" i="3"/>
  <c r="W29" i="3"/>
  <c r="V29" i="3"/>
  <c r="U29" i="3"/>
  <c r="S29" i="3"/>
  <c r="L29" i="3"/>
  <c r="X28" i="3"/>
  <c r="W28" i="3"/>
  <c r="V28" i="3"/>
  <c r="U28" i="3"/>
  <c r="S28" i="3"/>
  <c r="L28" i="3"/>
  <c r="X27" i="3"/>
  <c r="W27" i="3"/>
  <c r="V27" i="3"/>
  <c r="U27" i="3"/>
  <c r="S27" i="3"/>
  <c r="L27" i="3"/>
  <c r="X26" i="3"/>
  <c r="W26" i="3"/>
  <c r="V26" i="3"/>
  <c r="U26" i="3"/>
  <c r="S26" i="3"/>
  <c r="L26" i="3"/>
  <c r="X25" i="3"/>
  <c r="W25" i="3"/>
  <c r="V25" i="3"/>
  <c r="U25" i="3"/>
  <c r="S25" i="3"/>
  <c r="L25" i="3"/>
  <c r="X24" i="3"/>
  <c r="W24" i="3"/>
  <c r="V24" i="3"/>
  <c r="U24" i="3"/>
  <c r="S24" i="3"/>
  <c r="L24" i="3"/>
  <c r="X23" i="3"/>
  <c r="W23" i="3"/>
  <c r="V23" i="3"/>
  <c r="U23" i="3"/>
  <c r="S23" i="3"/>
  <c r="L23" i="3"/>
  <c r="X22" i="3"/>
  <c r="W22" i="3"/>
  <c r="V22" i="3"/>
  <c r="U22" i="3"/>
  <c r="S22" i="3"/>
  <c r="L22" i="3"/>
  <c r="U21" i="3"/>
  <c r="S21" i="3"/>
  <c r="L21" i="3"/>
  <c r="X20" i="3"/>
  <c r="W20" i="3"/>
  <c r="V20" i="3"/>
  <c r="U20" i="3"/>
  <c r="S20" i="3"/>
  <c r="L20" i="3"/>
  <c r="X19" i="3"/>
  <c r="U19" i="3"/>
  <c r="S19" i="3"/>
  <c r="L19" i="3"/>
  <c r="X18" i="3"/>
  <c r="W18" i="3"/>
  <c r="V18" i="3"/>
  <c r="U18" i="3"/>
  <c r="S18" i="3"/>
  <c r="L18" i="3"/>
  <c r="U17" i="3"/>
  <c r="S17" i="3"/>
  <c r="L17" i="3"/>
  <c r="X16" i="3"/>
  <c r="W16" i="3"/>
  <c r="V16" i="3"/>
  <c r="U16" i="3"/>
  <c r="S16" i="3"/>
  <c r="L16" i="3"/>
  <c r="U15" i="3"/>
  <c r="S15" i="3"/>
  <c r="L15" i="3"/>
  <c r="X14" i="3"/>
  <c r="W14" i="3"/>
  <c r="V14" i="3"/>
  <c r="U14" i="3"/>
  <c r="S14" i="3"/>
  <c r="L14" i="3"/>
  <c r="X13" i="3"/>
  <c r="U13" i="3"/>
  <c r="S13" i="3"/>
  <c r="L13" i="3"/>
  <c r="X12" i="3"/>
  <c r="W12" i="3"/>
  <c r="V12" i="3"/>
  <c r="U12" i="3"/>
  <c r="S12" i="3"/>
  <c r="X11" i="3"/>
  <c r="W11" i="3"/>
  <c r="V11" i="3"/>
  <c r="U11" i="3"/>
  <c r="S11" i="3"/>
  <c r="L11" i="3"/>
  <c r="X10" i="3"/>
  <c r="W10" i="3"/>
  <c r="V10" i="3"/>
  <c r="U10" i="3"/>
  <c r="S10" i="3"/>
  <c r="L10" i="3"/>
  <c r="X9" i="3"/>
  <c r="W9" i="3"/>
  <c r="V9" i="3"/>
  <c r="U9" i="3"/>
  <c r="S9" i="3"/>
  <c r="L9" i="3"/>
  <c r="X8" i="3"/>
  <c r="W8" i="3"/>
  <c r="V8" i="3"/>
  <c r="U8" i="3"/>
  <c r="S8" i="3"/>
  <c r="L8" i="3"/>
  <c r="X7" i="3"/>
  <c r="W7" i="3"/>
  <c r="V7" i="3"/>
  <c r="U7" i="3"/>
  <c r="S7" i="3"/>
  <c r="L7" i="3"/>
  <c r="X6" i="3"/>
  <c r="W6" i="3"/>
  <c r="V6" i="3"/>
  <c r="U6" i="3"/>
  <c r="S6" i="3"/>
  <c r="L6" i="3"/>
  <c r="X5" i="3"/>
  <c r="W5" i="3"/>
  <c r="V5" i="3"/>
  <c r="U5" i="3"/>
  <c r="S5" i="3"/>
  <c r="L5" i="3"/>
  <c r="X4" i="3"/>
  <c r="W4" i="3"/>
  <c r="V4" i="3"/>
  <c r="U4" i="3"/>
  <c r="S4" i="3"/>
  <c r="L4" i="3"/>
  <c r="X3" i="3"/>
  <c r="W3" i="3"/>
  <c r="V3" i="3"/>
  <c r="U3" i="3"/>
  <c r="S3" i="3"/>
  <c r="L3" i="3"/>
  <c r="B3" i="3"/>
  <c r="B4" i="3" s="1"/>
  <c r="X2" i="3"/>
  <c r="W2" i="3"/>
  <c r="V2" i="3"/>
  <c r="U2" i="3"/>
  <c r="S2" i="3"/>
  <c r="L2" i="3"/>
  <c r="H2" i="3"/>
  <c r="A2" i="3"/>
  <c r="X1" i="3"/>
  <c r="I77" i="1"/>
  <c r="H77" i="1"/>
  <c r="E77" i="1"/>
  <c r="D77" i="1"/>
  <c r="I76" i="1"/>
  <c r="H76" i="1"/>
  <c r="E76" i="1"/>
  <c r="D76" i="1"/>
  <c r="I75" i="1"/>
  <c r="H75" i="1"/>
  <c r="E75" i="1"/>
  <c r="D75" i="1"/>
  <c r="D78" i="1" s="1"/>
  <c r="S74" i="1"/>
  <c r="I74" i="1"/>
  <c r="H74" i="1"/>
  <c r="E74" i="1"/>
  <c r="E78" i="1" s="1"/>
  <c r="D74" i="1"/>
  <c r="V72" i="1"/>
  <c r="U72" i="1"/>
  <c r="T72" i="1"/>
  <c r="S72" i="1"/>
  <c r="Q72" i="1"/>
  <c r="V71" i="1"/>
  <c r="U71" i="1"/>
  <c r="T71" i="1"/>
  <c r="S71" i="1"/>
  <c r="Q71" i="1"/>
  <c r="Q70" i="1"/>
  <c r="V69" i="1"/>
  <c r="Q69" i="1"/>
  <c r="G69" i="1"/>
  <c r="D68" i="11" s="1"/>
  <c r="Q68" i="1"/>
  <c r="G68" i="1"/>
  <c r="D67" i="11" s="1"/>
  <c r="V65" i="1"/>
  <c r="U65" i="1"/>
  <c r="T65" i="1"/>
  <c r="S65" i="1"/>
  <c r="Q65" i="1"/>
  <c r="V64" i="1"/>
  <c r="U64" i="1"/>
  <c r="T64" i="1"/>
  <c r="S64" i="1"/>
  <c r="Q64" i="1"/>
  <c r="V63" i="1"/>
  <c r="U63" i="1"/>
  <c r="T63" i="1"/>
  <c r="S63" i="1"/>
  <c r="V62" i="1"/>
  <c r="U62" i="1"/>
  <c r="Q62" i="1"/>
  <c r="V61" i="1"/>
  <c r="U61" i="1"/>
  <c r="T61" i="1"/>
  <c r="S61" i="1"/>
  <c r="Q61" i="1"/>
  <c r="V60" i="1"/>
  <c r="U60" i="1"/>
  <c r="T60" i="1"/>
  <c r="Q60" i="1"/>
  <c r="V59" i="1"/>
  <c r="U59" i="1"/>
  <c r="T59" i="1"/>
  <c r="S59" i="1"/>
  <c r="Q59" i="1"/>
  <c r="G59" i="1"/>
  <c r="D58" i="11" s="1"/>
  <c r="V58" i="1"/>
  <c r="U58" i="1"/>
  <c r="T58" i="1"/>
  <c r="S58" i="1"/>
  <c r="Q58" i="1"/>
  <c r="G58" i="1"/>
  <c r="D57" i="11" s="1"/>
  <c r="V57" i="1"/>
  <c r="U57" i="1"/>
  <c r="T57" i="1"/>
  <c r="S57" i="1"/>
  <c r="Q57" i="1"/>
  <c r="V56" i="1"/>
  <c r="U56" i="1"/>
  <c r="T56" i="1"/>
  <c r="S56" i="1"/>
  <c r="Q56" i="1"/>
  <c r="V55" i="1"/>
  <c r="U55" i="1"/>
  <c r="T55" i="1"/>
  <c r="S55" i="1"/>
  <c r="Q55" i="1"/>
  <c r="V54" i="1"/>
  <c r="U54" i="1"/>
  <c r="T54" i="1"/>
  <c r="S54" i="1"/>
  <c r="Q54" i="1"/>
  <c r="V53" i="1"/>
  <c r="U53" i="1"/>
  <c r="T53" i="1"/>
  <c r="S53" i="1"/>
  <c r="Q53" i="1"/>
  <c r="V52" i="1"/>
  <c r="U52" i="1"/>
  <c r="T52" i="1"/>
  <c r="S52" i="1"/>
  <c r="Q52" i="1"/>
  <c r="U51" i="1"/>
  <c r="T51" i="1"/>
  <c r="S51" i="1"/>
  <c r="Q51" i="1"/>
  <c r="V50" i="1"/>
  <c r="U50" i="1"/>
  <c r="T50" i="1"/>
  <c r="S50" i="1"/>
  <c r="Q50" i="1"/>
  <c r="V49" i="1"/>
  <c r="U49" i="1"/>
  <c r="T49" i="1"/>
  <c r="S49" i="1"/>
  <c r="Q49" i="1"/>
  <c r="V48" i="1"/>
  <c r="U48" i="1"/>
  <c r="T48" i="1"/>
  <c r="S48" i="1"/>
  <c r="Q48" i="1"/>
  <c r="V47" i="1"/>
  <c r="U47" i="1"/>
  <c r="T47" i="1"/>
  <c r="S47" i="1"/>
  <c r="Q47" i="1"/>
  <c r="U46" i="1"/>
  <c r="T46" i="1"/>
  <c r="S46" i="1"/>
  <c r="Q46" i="1"/>
  <c r="U45" i="1"/>
  <c r="T45" i="1"/>
  <c r="S45" i="1"/>
  <c r="Q45" i="1"/>
  <c r="V44" i="1"/>
  <c r="U44" i="1"/>
  <c r="T44" i="1"/>
  <c r="S44" i="1"/>
  <c r="Q44" i="1"/>
  <c r="U43" i="1"/>
  <c r="T43" i="1"/>
  <c r="S43" i="1"/>
  <c r="Q43" i="1"/>
  <c r="V42" i="1"/>
  <c r="U42" i="1"/>
  <c r="T42" i="1"/>
  <c r="S42" i="1"/>
  <c r="Q42" i="1"/>
  <c r="V41" i="1"/>
  <c r="U41" i="1"/>
  <c r="S41" i="1"/>
  <c r="Q41" i="1"/>
  <c r="V40" i="1"/>
  <c r="U40" i="1"/>
  <c r="T40" i="1"/>
  <c r="S40" i="1"/>
  <c r="Q40" i="1"/>
  <c r="U39" i="1"/>
  <c r="T39" i="1"/>
  <c r="S39" i="1"/>
  <c r="Q39" i="1"/>
  <c r="V38" i="1"/>
  <c r="U38" i="1"/>
  <c r="T38" i="1"/>
  <c r="S38" i="1"/>
  <c r="Q38" i="1"/>
  <c r="U37" i="1"/>
  <c r="T37" i="1"/>
  <c r="S37" i="1"/>
  <c r="Q37" i="1"/>
  <c r="U36" i="1"/>
  <c r="T36" i="1"/>
  <c r="S36" i="1"/>
  <c r="Q36" i="1"/>
  <c r="V35" i="1"/>
  <c r="U35" i="1"/>
  <c r="T35" i="1"/>
  <c r="S35" i="1"/>
  <c r="Q35" i="1"/>
  <c r="U34" i="1"/>
  <c r="T34" i="1"/>
  <c r="S34" i="1"/>
  <c r="Q34" i="1"/>
  <c r="V33" i="1"/>
  <c r="U33" i="1"/>
  <c r="T33" i="1"/>
  <c r="S33" i="1"/>
  <c r="Q33" i="1"/>
  <c r="K33" i="1"/>
  <c r="V32" i="1"/>
  <c r="U32" i="1"/>
  <c r="T32" i="1"/>
  <c r="S32" i="1"/>
  <c r="Q32" i="1"/>
  <c r="K32" i="1"/>
  <c r="V31" i="1"/>
  <c r="U31" i="1"/>
  <c r="T31" i="1"/>
  <c r="S31" i="1"/>
  <c r="Q31" i="1"/>
  <c r="K31" i="1"/>
  <c r="V30" i="1"/>
  <c r="U30" i="1"/>
  <c r="T30" i="1"/>
  <c r="S30" i="1"/>
  <c r="Q30" i="1"/>
  <c r="K30" i="1"/>
  <c r="V29" i="1"/>
  <c r="U29" i="1"/>
  <c r="T29" i="1"/>
  <c r="S29" i="1"/>
  <c r="Q29" i="1"/>
  <c r="K29" i="1"/>
  <c r="V28" i="1"/>
  <c r="U28" i="1"/>
  <c r="T28" i="1"/>
  <c r="S28" i="1"/>
  <c r="Q28" i="1"/>
  <c r="K28" i="1"/>
  <c r="V27" i="1"/>
  <c r="U27" i="1"/>
  <c r="T27" i="1"/>
  <c r="S27" i="1"/>
  <c r="Q27" i="1"/>
  <c r="K27" i="1"/>
  <c r="V26" i="1"/>
  <c r="U26" i="1"/>
  <c r="T26" i="1"/>
  <c r="S26" i="1"/>
  <c r="Q26" i="1"/>
  <c r="K26" i="1"/>
  <c r="V25" i="1"/>
  <c r="U25" i="1"/>
  <c r="T25" i="1"/>
  <c r="S25" i="1"/>
  <c r="Q25" i="1"/>
  <c r="K25" i="1"/>
  <c r="V24" i="1"/>
  <c r="U24" i="1"/>
  <c r="T24" i="1"/>
  <c r="S24" i="1"/>
  <c r="Q24" i="1"/>
  <c r="K24" i="1"/>
  <c r="V23" i="1"/>
  <c r="U23" i="1"/>
  <c r="T23" i="1"/>
  <c r="S23" i="1"/>
  <c r="Q23" i="1"/>
  <c r="K23" i="1"/>
  <c r="S22" i="1"/>
  <c r="Q22" i="1"/>
  <c r="K22" i="1"/>
  <c r="V21" i="1"/>
  <c r="U21" i="1"/>
  <c r="T21" i="1"/>
  <c r="S21" i="1"/>
  <c r="Q21" i="1"/>
  <c r="V20" i="1"/>
  <c r="U20" i="1"/>
  <c r="T20" i="1"/>
  <c r="S20" i="1"/>
  <c r="Q20" i="1"/>
  <c r="K20" i="1"/>
  <c r="V19" i="1"/>
  <c r="U19" i="1"/>
  <c r="T19" i="1"/>
  <c r="S19" i="1"/>
  <c r="Q19" i="1"/>
  <c r="K19" i="1"/>
  <c r="V18" i="1"/>
  <c r="S18" i="1"/>
  <c r="Q18" i="1"/>
  <c r="V17" i="1"/>
  <c r="U17" i="1"/>
  <c r="T17" i="1"/>
  <c r="S17" i="1"/>
  <c r="Q17" i="1"/>
  <c r="K17" i="1"/>
  <c r="V16" i="1"/>
  <c r="S16" i="1"/>
  <c r="Q16" i="1"/>
  <c r="K16" i="1"/>
  <c r="V15" i="1"/>
  <c r="U15" i="1"/>
  <c r="T15" i="1"/>
  <c r="S15" i="1"/>
  <c r="Q15" i="1"/>
  <c r="K15" i="1"/>
  <c r="V14" i="1"/>
  <c r="S14" i="1"/>
  <c r="Q14" i="1"/>
  <c r="K14" i="1"/>
  <c r="V13" i="1"/>
  <c r="U13" i="1"/>
  <c r="T13" i="1"/>
  <c r="S13" i="1"/>
  <c r="Q13" i="1"/>
  <c r="K13" i="1"/>
  <c r="V12" i="1"/>
  <c r="S12" i="1"/>
  <c r="Q12" i="1"/>
  <c r="V11" i="1"/>
  <c r="U11" i="1"/>
  <c r="T11" i="1"/>
  <c r="S11" i="1"/>
  <c r="Q11" i="1"/>
  <c r="K11" i="1"/>
  <c r="V10" i="1"/>
  <c r="S10" i="1"/>
  <c r="Q10" i="1"/>
  <c r="K10" i="1"/>
  <c r="V9" i="1"/>
  <c r="U9" i="1"/>
  <c r="T9" i="1"/>
  <c r="S9" i="1"/>
  <c r="Q9" i="1"/>
  <c r="K9" i="1"/>
  <c r="V8" i="1"/>
  <c r="U8" i="1"/>
  <c r="T8" i="1"/>
  <c r="S8" i="1"/>
  <c r="Q8" i="1"/>
  <c r="K8" i="1"/>
  <c r="V7" i="1"/>
  <c r="U7" i="1"/>
  <c r="T7" i="1"/>
  <c r="S7" i="1"/>
  <c r="Q7" i="1"/>
  <c r="K7" i="1"/>
  <c r="V6" i="1"/>
  <c r="U6" i="1"/>
  <c r="T6" i="1"/>
  <c r="S6" i="1"/>
  <c r="Q6" i="1"/>
  <c r="K6" i="1"/>
  <c r="V5" i="1"/>
  <c r="U5" i="1"/>
  <c r="T5" i="1"/>
  <c r="S5" i="1"/>
  <c r="K5" i="1"/>
  <c r="V4" i="1"/>
  <c r="U4" i="1"/>
  <c r="T4" i="1"/>
  <c r="S4" i="1"/>
  <c r="Q4" i="1"/>
  <c r="K4" i="1"/>
  <c r="V3" i="1"/>
  <c r="U3" i="1"/>
  <c r="T3" i="1"/>
  <c r="S3" i="1"/>
  <c r="Q3" i="1"/>
  <c r="K3" i="1"/>
  <c r="B3" i="1"/>
  <c r="B4" i="11" s="1"/>
  <c r="V2" i="1"/>
  <c r="U2" i="1"/>
  <c r="T2" i="1"/>
  <c r="S2" i="1"/>
  <c r="Q2" i="1"/>
  <c r="K2" i="1"/>
  <c r="A2" i="1"/>
  <c r="A3" i="11" s="1"/>
  <c r="B5" i="3" l="1"/>
  <c r="A4" i="3"/>
  <c r="H4" i="3" s="1"/>
  <c r="B4" i="1"/>
  <c r="A3" i="3"/>
  <c r="H3" i="3" s="1"/>
  <c r="B5" i="4"/>
  <c r="A4" i="4"/>
  <c r="G4" i="4" s="1"/>
  <c r="A3" i="1"/>
  <c r="G2" i="1"/>
  <c r="A3" i="4"/>
  <c r="G3" i="4" s="1"/>
  <c r="F6" i="5"/>
  <c r="A7" i="5"/>
  <c r="A4" i="11" l="1"/>
  <c r="G3" i="1"/>
  <c r="D4" i="11" s="1"/>
  <c r="B5" i="11"/>
  <c r="B5" i="1"/>
  <c r="A4" i="1"/>
  <c r="B6" i="4"/>
  <c r="A5" i="4"/>
  <c r="G5" i="4" s="1"/>
  <c r="A8" i="5"/>
  <c r="F7" i="5"/>
  <c r="D3" i="11"/>
  <c r="A5" i="3"/>
  <c r="H5" i="3" s="1"/>
  <c r="B6" i="3"/>
  <c r="B7" i="4" l="1"/>
  <c r="A6" i="4"/>
  <c r="G6" i="4" s="1"/>
  <c r="A5" i="11"/>
  <c r="G4" i="1"/>
  <c r="A6" i="3"/>
  <c r="H6" i="3" s="1"/>
  <c r="B7" i="3"/>
  <c r="A9" i="5"/>
  <c r="A10" i="5"/>
  <c r="F8" i="5"/>
  <c r="B6" i="11"/>
  <c r="B6" i="1"/>
  <c r="A5" i="1"/>
  <c r="B8" i="3" l="1"/>
  <c r="A7" i="3"/>
  <c r="H7" i="3" s="1"/>
  <c r="A6" i="11"/>
  <c r="G5" i="1"/>
  <c r="D6" i="11" s="1"/>
  <c r="D5" i="11"/>
  <c r="B9" i="4"/>
  <c r="B8" i="4"/>
  <c r="A8" i="4" s="1"/>
  <c r="G8" i="4" s="1"/>
  <c r="A7" i="4"/>
  <c r="G7" i="4" s="1"/>
  <c r="A11" i="5"/>
  <c r="A12" i="5"/>
  <c r="F10" i="5"/>
  <c r="B7" i="11"/>
  <c r="B7" i="1"/>
  <c r="A6" i="1"/>
  <c r="A7" i="11" l="1"/>
  <c r="G6" i="1"/>
  <c r="D7" i="11" s="1"/>
  <c r="A13" i="5"/>
  <c r="F12" i="5"/>
  <c r="A14" i="5"/>
  <c r="B11" i="4"/>
  <c r="B10" i="4"/>
  <c r="A10" i="4" s="1"/>
  <c r="G10" i="4" s="1"/>
  <c r="A9" i="4"/>
  <c r="G9" i="4" s="1"/>
  <c r="B8" i="11"/>
  <c r="B8" i="1"/>
  <c r="A7" i="1"/>
  <c r="B9" i="1"/>
  <c r="B9" i="3"/>
  <c r="A8" i="3"/>
  <c r="H8" i="3" s="1"/>
  <c r="B10" i="11" l="1"/>
  <c r="B11" i="1"/>
  <c r="A9" i="1"/>
  <c r="B10" i="1"/>
  <c r="A8" i="11"/>
  <c r="G7" i="1"/>
  <c r="B9" i="11"/>
  <c r="A8" i="1"/>
  <c r="A9" i="11" s="1"/>
  <c r="B12" i="4"/>
  <c r="A12" i="4" s="1"/>
  <c r="B13" i="4"/>
  <c r="A11" i="4"/>
  <c r="G11" i="4" s="1"/>
  <c r="B10" i="3"/>
  <c r="A9" i="3"/>
  <c r="H9" i="3" s="1"/>
  <c r="A16" i="5"/>
  <c r="F14" i="5"/>
  <c r="A15" i="5"/>
  <c r="A10" i="3" l="1"/>
  <c r="H10" i="3" s="1"/>
  <c r="B12" i="3"/>
  <c r="B11" i="3"/>
  <c r="A11" i="3" s="1"/>
  <c r="B11" i="11"/>
  <c r="A10" i="1"/>
  <c r="A11" i="11" s="1"/>
  <c r="A10" i="11"/>
  <c r="G9" i="1"/>
  <c r="D10" i="11" s="1"/>
  <c r="A18" i="5"/>
  <c r="F16" i="5"/>
  <c r="A17" i="5"/>
  <c r="B15" i="4"/>
  <c r="B14" i="4"/>
  <c r="A14" i="4" s="1"/>
  <c r="G14" i="4" s="1"/>
  <c r="A13" i="4"/>
  <c r="G13" i="4" s="1"/>
  <c r="D8" i="11"/>
  <c r="B12" i="11"/>
  <c r="B12" i="1"/>
  <c r="A11" i="1"/>
  <c r="B13" i="1"/>
  <c r="A20" i="5" l="1"/>
  <c r="A19" i="5"/>
  <c r="F18" i="5"/>
  <c r="B14" i="11"/>
  <c r="A13" i="1"/>
  <c r="B15" i="1"/>
  <c r="B14" i="1"/>
  <c r="B17" i="4"/>
  <c r="A15" i="4"/>
  <c r="G15" i="4" s="1"/>
  <c r="B16" i="4"/>
  <c r="A16" i="4" s="1"/>
  <c r="B13" i="11"/>
  <c r="A12" i="1"/>
  <c r="A13" i="11" s="1"/>
  <c r="A12" i="11"/>
  <c r="G11" i="1"/>
  <c r="B14" i="3"/>
  <c r="B13" i="3"/>
  <c r="A13" i="3" s="1"/>
  <c r="A12" i="3"/>
  <c r="H12" i="3" s="1"/>
  <c r="B19" i="4" l="1"/>
  <c r="B18" i="4"/>
  <c r="A18" i="4" s="1"/>
  <c r="G18" i="4" s="1"/>
  <c r="A17" i="4"/>
  <c r="G17" i="4" s="1"/>
  <c r="A14" i="3"/>
  <c r="H14" i="3" s="1"/>
  <c r="B16" i="3"/>
  <c r="B15" i="3"/>
  <c r="A15" i="3" s="1"/>
  <c r="B15" i="11"/>
  <c r="A14" i="1"/>
  <c r="A15" i="11" s="1"/>
  <c r="D12" i="11"/>
  <c r="B16" i="11"/>
  <c r="B17" i="1"/>
  <c r="A15" i="1"/>
  <c r="B16" i="1"/>
  <c r="A14" i="11"/>
  <c r="G13" i="1"/>
  <c r="D14" i="11" s="1"/>
  <c r="A21" i="5"/>
  <c r="A22" i="5" s="1"/>
  <c r="F20" i="5"/>
  <c r="B17" i="11" l="1"/>
  <c r="A16" i="1"/>
  <c r="B18" i="11"/>
  <c r="B19" i="1"/>
  <c r="A17" i="1"/>
  <c r="B18" i="1"/>
  <c r="A24" i="5"/>
  <c r="A23" i="5"/>
  <c r="F23" i="5" s="1"/>
  <c r="A16" i="11"/>
  <c r="G15" i="1"/>
  <c r="D16" i="11" s="1"/>
  <c r="B18" i="3"/>
  <c r="B17" i="3"/>
  <c r="A17" i="3" s="1"/>
  <c r="A16" i="3"/>
  <c r="H16" i="3" s="1"/>
  <c r="B20" i="4"/>
  <c r="A19" i="4"/>
  <c r="G19" i="4" s="1"/>
  <c r="B20" i="11" l="1"/>
  <c r="B20" i="1"/>
  <c r="A19" i="1"/>
  <c r="A20" i="4"/>
  <c r="G20" i="4" s="1"/>
  <c r="B21" i="4"/>
  <c r="B20" i="3"/>
  <c r="A18" i="3"/>
  <c r="H18" i="3" s="1"/>
  <c r="B19" i="3"/>
  <c r="A19" i="3" s="1"/>
  <c r="A25" i="5"/>
  <c r="F24" i="5"/>
  <c r="B19" i="11"/>
  <c r="A18" i="1"/>
  <c r="A19" i="11" s="1"/>
  <c r="A17" i="11"/>
  <c r="G16" i="1"/>
  <c r="D17" i="11" s="1"/>
  <c r="A18" i="11"/>
  <c r="G17" i="1"/>
  <c r="D18" i="11" s="1"/>
  <c r="A20" i="11" l="1"/>
  <c r="G19" i="1"/>
  <c r="D20" i="11" s="1"/>
  <c r="B21" i="3"/>
  <c r="A21" i="3" s="1"/>
  <c r="A20" i="3"/>
  <c r="H20" i="3" s="1"/>
  <c r="B22" i="3"/>
  <c r="B21" i="11"/>
  <c r="A20" i="1"/>
  <c r="B21" i="1"/>
  <c r="F25" i="5"/>
  <c r="A26" i="5"/>
  <c r="B22" i="4"/>
  <c r="A21" i="4"/>
  <c r="G21" i="4" s="1"/>
  <c r="B23" i="4"/>
  <c r="A23" i="4" s="1"/>
  <c r="B24" i="4"/>
  <c r="B22" i="11" l="1"/>
  <c r="B24" i="1"/>
  <c r="B23" i="1"/>
  <c r="A21" i="1"/>
  <c r="A21" i="11"/>
  <c r="G20" i="1"/>
  <c r="D21" i="11" s="1"/>
  <c r="A24" i="4"/>
  <c r="B25" i="4"/>
  <c r="F26" i="5"/>
  <c r="A27" i="5"/>
  <c r="A22" i="3"/>
  <c r="H22" i="3" s="1"/>
  <c r="B23" i="3"/>
  <c r="A25" i="4" l="1"/>
  <c r="G25" i="4" s="1"/>
  <c r="B26" i="4"/>
  <c r="B27" i="4" s="1"/>
  <c r="A22" i="11"/>
  <c r="G21" i="1"/>
  <c r="D22" i="11" s="1"/>
  <c r="B24" i="3"/>
  <c r="A23" i="3"/>
  <c r="B23" i="11"/>
  <c r="A23" i="1"/>
  <c r="A28" i="5"/>
  <c r="F27" i="5"/>
  <c r="B24" i="11"/>
  <c r="A24" i="1"/>
  <c r="B25" i="1"/>
  <c r="A24" i="11" l="1"/>
  <c r="G24" i="1"/>
  <c r="D24" i="11" s="1"/>
  <c r="A23" i="11"/>
  <c r="G23" i="1"/>
  <c r="D23" i="11" s="1"/>
  <c r="B28" i="4"/>
  <c r="A27" i="4"/>
  <c r="G27" i="4" s="1"/>
  <c r="B25" i="11"/>
  <c r="A25" i="1"/>
  <c r="B26" i="1"/>
  <c r="A29" i="5"/>
  <c r="F28" i="5"/>
  <c r="B26" i="3"/>
  <c r="A24" i="3"/>
  <c r="A25" i="11" l="1"/>
  <c r="G25" i="1"/>
  <c r="D25" i="11" s="1"/>
  <c r="A26" i="3"/>
  <c r="H26" i="3" s="1"/>
  <c r="B27" i="3"/>
  <c r="F29" i="5"/>
  <c r="A30" i="5"/>
  <c r="B27" i="1"/>
  <c r="A26" i="1"/>
  <c r="B29" i="4"/>
  <c r="A28" i="4"/>
  <c r="G28" i="4" s="1"/>
  <c r="A26" i="11" l="1"/>
  <c r="G26" i="1"/>
  <c r="D26" i="11" s="1"/>
  <c r="A27" i="3"/>
  <c r="H27" i="3" s="1"/>
  <c r="B28" i="3"/>
  <c r="F30" i="5"/>
  <c r="A32" i="5"/>
  <c r="B27" i="11"/>
  <c r="B28" i="1"/>
  <c r="A27" i="1"/>
  <c r="B30" i="4"/>
  <c r="A29" i="4"/>
  <c r="G29" i="4" s="1"/>
  <c r="A27" i="11" l="1"/>
  <c r="G27" i="1"/>
  <c r="D27" i="11" s="1"/>
  <c r="B28" i="11"/>
  <c r="A28" i="1"/>
  <c r="B29" i="1"/>
  <c r="B29" i="3"/>
  <c r="A28" i="3"/>
  <c r="H28" i="3" s="1"/>
  <c r="B31" i="4"/>
  <c r="A30" i="4"/>
  <c r="G30" i="4" s="1"/>
  <c r="A33" i="5"/>
  <c r="F32" i="5"/>
  <c r="B32" i="4" l="1"/>
  <c r="A31" i="4"/>
  <c r="G31" i="4" s="1"/>
  <c r="A28" i="11"/>
  <c r="G28" i="1"/>
  <c r="D28" i="11" s="1"/>
  <c r="A34" i="5"/>
  <c r="F33" i="5"/>
  <c r="B30" i="3"/>
  <c r="A29" i="3"/>
  <c r="H29" i="3" s="1"/>
  <c r="B29" i="11"/>
  <c r="A29" i="1"/>
  <c r="B30" i="1"/>
  <c r="A29" i="11" l="1"/>
  <c r="G29" i="1"/>
  <c r="D29" i="11" s="1"/>
  <c r="B30" i="11"/>
  <c r="B31" i="1"/>
  <c r="A30" i="1"/>
  <c r="A30" i="3"/>
  <c r="H30" i="3" s="1"/>
  <c r="B31" i="3"/>
  <c r="F34" i="5"/>
  <c r="A35" i="5"/>
  <c r="A32" i="4"/>
  <c r="G32" i="4" s="1"/>
  <c r="B34" i="4"/>
  <c r="B31" i="11" l="1"/>
  <c r="B32" i="1"/>
  <c r="A31" i="1"/>
  <c r="F35" i="5"/>
  <c r="A36" i="5"/>
  <c r="A34" i="4"/>
  <c r="G34" i="4" s="1"/>
  <c r="B35" i="4"/>
  <c r="A31" i="3"/>
  <c r="H31" i="3" s="1"/>
  <c r="B32" i="3"/>
  <c r="B33" i="3"/>
  <c r="A33" i="3" s="1"/>
  <c r="H33" i="3" s="1"/>
  <c r="A30" i="11"/>
  <c r="G30" i="1"/>
  <c r="D30" i="11" s="1"/>
  <c r="A35" i="4" l="1"/>
  <c r="G35" i="4" s="1"/>
  <c r="B36" i="4"/>
  <c r="A31" i="11"/>
  <c r="G31" i="1"/>
  <c r="D31" i="11" s="1"/>
  <c r="B32" i="11"/>
  <c r="A32" i="1"/>
  <c r="B33" i="1"/>
  <c r="B35" i="3"/>
  <c r="A32" i="3"/>
  <c r="A37" i="5"/>
  <c r="F36" i="5"/>
  <c r="A32" i="11" l="1"/>
  <c r="G32" i="1"/>
  <c r="D32" i="11" s="1"/>
  <c r="A36" i="4"/>
  <c r="G36" i="4" s="1"/>
  <c r="B37" i="4"/>
  <c r="A35" i="3"/>
  <c r="H35" i="3" s="1"/>
  <c r="B36" i="3"/>
  <c r="A38" i="5"/>
  <c r="F37" i="5"/>
  <c r="B33" i="11"/>
  <c r="B34" i="1"/>
  <c r="A33" i="1"/>
  <c r="A37" i="4" l="1"/>
  <c r="G37" i="4" s="1"/>
  <c r="B38" i="4"/>
  <c r="A33" i="11"/>
  <c r="G33" i="1"/>
  <c r="D33" i="11" s="1"/>
  <c r="F38" i="5"/>
  <c r="A39" i="5"/>
  <c r="B34" i="11"/>
  <c r="B35" i="1"/>
  <c r="A34" i="1"/>
  <c r="B37" i="3"/>
  <c r="A36" i="3"/>
  <c r="H36" i="3" s="1"/>
  <c r="A34" i="11" l="1"/>
  <c r="G34" i="1"/>
  <c r="D34" i="11" s="1"/>
  <c r="B35" i="11"/>
  <c r="A35" i="1"/>
  <c r="B36" i="1"/>
  <c r="B38" i="3"/>
  <c r="A37" i="3"/>
  <c r="H37" i="3" s="1"/>
  <c r="F39" i="5"/>
  <c r="A40" i="5"/>
  <c r="A38" i="4"/>
  <c r="G38" i="4" s="1"/>
  <c r="B39" i="4"/>
  <c r="A35" i="11" l="1"/>
  <c r="G35" i="1"/>
  <c r="D35" i="11" s="1"/>
  <c r="A38" i="3"/>
  <c r="H38" i="3" s="1"/>
  <c r="B39" i="3"/>
  <c r="A39" i="4"/>
  <c r="G39" i="4" s="1"/>
  <c r="B40" i="4"/>
  <c r="A41" i="5"/>
  <c r="F40" i="5"/>
  <c r="B36" i="11"/>
  <c r="B37" i="1"/>
  <c r="A36" i="1"/>
  <c r="A39" i="3" l="1"/>
  <c r="H39" i="3" s="1"/>
  <c r="B40" i="3"/>
  <c r="B37" i="11"/>
  <c r="B38" i="1"/>
  <c r="A37" i="1"/>
  <c r="A40" i="4"/>
  <c r="G40" i="4" s="1"/>
  <c r="B41" i="4"/>
  <c r="A36" i="11"/>
  <c r="G36" i="1"/>
  <c r="D36" i="11" s="1"/>
  <c r="A42" i="5"/>
  <c r="F41" i="5"/>
  <c r="B41" i="3" l="1"/>
  <c r="A40" i="3"/>
  <c r="H40" i="3" s="1"/>
  <c r="F42" i="5"/>
  <c r="A43" i="5"/>
  <c r="A37" i="11"/>
  <c r="G37" i="1"/>
  <c r="D37" i="11" s="1"/>
  <c r="B38" i="11"/>
  <c r="B39" i="1"/>
  <c r="A38" i="1"/>
  <c r="A41" i="4"/>
  <c r="G41" i="4" s="1"/>
  <c r="B42" i="4"/>
  <c r="B39" i="11" l="1"/>
  <c r="B18" i="2"/>
  <c r="B22" i="2"/>
  <c r="B17" i="2"/>
  <c r="B15" i="2"/>
  <c r="B40" i="1"/>
  <c r="B19" i="2"/>
  <c r="B14" i="2"/>
  <c r="B20" i="2"/>
  <c r="A39" i="1"/>
  <c r="A44" i="5"/>
  <c r="F43" i="5"/>
  <c r="A42" i="4"/>
  <c r="G42" i="4" s="1"/>
  <c r="B43" i="4"/>
  <c r="A38" i="11"/>
  <c r="G38" i="1"/>
  <c r="D38" i="11" s="1"/>
  <c r="B42" i="3"/>
  <c r="A41" i="3"/>
  <c r="H41" i="3" s="1"/>
  <c r="A42" i="3" l="1"/>
  <c r="H42" i="3" s="1"/>
  <c r="B43" i="3"/>
  <c r="A45" i="5"/>
  <c r="F44" i="5"/>
  <c r="A43" i="4"/>
  <c r="G43" i="4" s="1"/>
  <c r="B44" i="4"/>
  <c r="A39" i="11"/>
  <c r="G39" i="1"/>
  <c r="D39" i="11" s="1"/>
  <c r="B40" i="11"/>
  <c r="B6" i="2"/>
  <c r="B4" i="2"/>
  <c r="B41" i="1"/>
  <c r="B5" i="2"/>
  <c r="B8" i="2"/>
  <c r="B7" i="2"/>
  <c r="A40" i="1"/>
  <c r="B12" i="2"/>
  <c r="B10" i="2"/>
  <c r="A40" i="11" l="1"/>
  <c r="G40" i="1"/>
  <c r="D40" i="11" s="1"/>
  <c r="B41" i="11"/>
  <c r="B42" i="1"/>
  <c r="A41" i="1"/>
  <c r="F45" i="5"/>
  <c r="A46" i="5"/>
  <c r="A44" i="4"/>
  <c r="G44" i="4" s="1"/>
  <c r="B45" i="4"/>
  <c r="A43" i="3"/>
  <c r="H43" i="3" s="1"/>
  <c r="B44" i="3"/>
  <c r="B42" i="11" l="1"/>
  <c r="A42" i="1"/>
  <c r="B43" i="1"/>
  <c r="B46" i="4"/>
  <c r="A45" i="4"/>
  <c r="G45" i="4" s="1"/>
  <c r="B45" i="3"/>
  <c r="A44" i="3"/>
  <c r="H44" i="3" s="1"/>
  <c r="A47" i="5"/>
  <c r="F46" i="5"/>
  <c r="A41" i="11"/>
  <c r="G41" i="1"/>
  <c r="D41" i="11" s="1"/>
  <c r="F47" i="5" l="1"/>
  <c r="A49" i="5"/>
  <c r="B47" i="4"/>
  <c r="A46" i="4"/>
  <c r="G46" i="4" s="1"/>
  <c r="B43" i="11"/>
  <c r="B44" i="1"/>
  <c r="A43" i="1"/>
  <c r="B46" i="3"/>
  <c r="A45" i="3"/>
  <c r="H45" i="3" s="1"/>
  <c r="A42" i="11"/>
  <c r="G42" i="1"/>
  <c r="D42" i="11" s="1"/>
  <c r="A43" i="11" l="1"/>
  <c r="G43" i="1"/>
  <c r="D43" i="11" s="1"/>
  <c r="B48" i="4"/>
  <c r="A47" i="4"/>
  <c r="G47" i="4" s="1"/>
  <c r="B47" i="3"/>
  <c r="A46" i="3"/>
  <c r="H46" i="3" s="1"/>
  <c r="B44" i="11"/>
  <c r="B45" i="1"/>
  <c r="A44" i="1"/>
  <c r="A50" i="5"/>
  <c r="F49" i="5"/>
  <c r="B50" i="4" l="1"/>
  <c r="A48" i="4"/>
  <c r="G48" i="4" s="1"/>
  <c r="B45" i="11"/>
  <c r="B46" i="1"/>
  <c r="A45" i="1"/>
  <c r="F50" i="5"/>
  <c r="A51" i="5"/>
  <c r="A44" i="11"/>
  <c r="G44" i="1"/>
  <c r="D44" i="11" s="1"/>
  <c r="A47" i="3"/>
  <c r="H47" i="3" s="1"/>
  <c r="B48" i="3"/>
  <c r="B46" i="11" l="1"/>
  <c r="B47" i="1"/>
  <c r="A46" i="1"/>
  <c r="A48" i="3"/>
  <c r="H48" i="3" s="1"/>
  <c r="B49" i="3"/>
  <c r="A52" i="5"/>
  <c r="F51" i="5"/>
  <c r="A45" i="11"/>
  <c r="G45" i="1"/>
  <c r="D45" i="11" s="1"/>
  <c r="B51" i="4"/>
  <c r="A50" i="4"/>
  <c r="G50" i="4" s="1"/>
  <c r="A46" i="11" l="1"/>
  <c r="G46" i="1"/>
  <c r="D46" i="11" s="1"/>
  <c r="A51" i="4"/>
  <c r="G51" i="4" s="1"/>
  <c r="B52" i="4"/>
  <c r="F52" i="5"/>
  <c r="A53" i="5"/>
  <c r="B47" i="11"/>
  <c r="B48" i="1"/>
  <c r="A47" i="1"/>
  <c r="B50" i="3"/>
  <c r="A49" i="3"/>
  <c r="H49" i="3" s="1"/>
  <c r="A47" i="11" l="1"/>
  <c r="G47" i="1"/>
  <c r="D47" i="11" s="1"/>
  <c r="B48" i="11"/>
  <c r="A48" i="1"/>
  <c r="B49" i="1"/>
  <c r="A52" i="4"/>
  <c r="G52" i="4" s="1"/>
  <c r="B53" i="4"/>
  <c r="B51" i="3"/>
  <c r="A50" i="3"/>
  <c r="H50" i="3" s="1"/>
  <c r="A54" i="5"/>
  <c r="F53" i="5"/>
  <c r="B54" i="4" l="1"/>
  <c r="A53" i="4"/>
  <c r="G53" i="4" s="1"/>
  <c r="A51" i="3"/>
  <c r="H51" i="3" s="1"/>
  <c r="B52" i="3"/>
  <c r="F54" i="5"/>
  <c r="A55" i="5"/>
  <c r="A48" i="11"/>
  <c r="G48" i="1"/>
  <c r="D48" i="11" s="1"/>
  <c r="B49" i="11"/>
  <c r="A49" i="1"/>
  <c r="B50" i="1"/>
  <c r="A52" i="3" l="1"/>
  <c r="H52" i="3" s="1"/>
  <c r="B53" i="3"/>
  <c r="B50" i="11"/>
  <c r="A50" i="1"/>
  <c r="B51" i="1"/>
  <c r="A49" i="11"/>
  <c r="G49" i="1"/>
  <c r="D49" i="11" s="1"/>
  <c r="A56" i="5"/>
  <c r="F55" i="5"/>
  <c r="B55" i="4"/>
  <c r="A54" i="4"/>
  <c r="G54" i="4" s="1"/>
  <c r="F56" i="5" l="1"/>
  <c r="A57" i="5"/>
  <c r="A50" i="11"/>
  <c r="G50" i="1"/>
  <c r="A55" i="4"/>
  <c r="G55" i="4" s="1"/>
  <c r="B56" i="4"/>
  <c r="A53" i="3"/>
  <c r="H53" i="3" s="1"/>
  <c r="B54" i="3"/>
  <c r="B51" i="11"/>
  <c r="B52" i="1"/>
  <c r="A51" i="1"/>
  <c r="B55" i="3" l="1"/>
  <c r="A54" i="3"/>
  <c r="H54" i="3" s="1"/>
  <c r="A51" i="11"/>
  <c r="G51" i="1"/>
  <c r="D50" i="11" s="1"/>
  <c r="B52" i="11"/>
  <c r="B53" i="1"/>
  <c r="A52" i="1"/>
  <c r="B57" i="4"/>
  <c r="A56" i="4"/>
  <c r="G56" i="4" s="1"/>
  <c r="A58" i="5"/>
  <c r="F57" i="5"/>
  <c r="A52" i="11" l="1"/>
  <c r="G52" i="1"/>
  <c r="D51" i="11" s="1"/>
  <c r="B58" i="4"/>
  <c r="B59" i="4"/>
  <c r="A57" i="4"/>
  <c r="G57" i="4" s="1"/>
  <c r="F58" i="5"/>
  <c r="A59" i="5"/>
  <c r="B53" i="11"/>
  <c r="A53" i="1"/>
  <c r="B54" i="1"/>
  <c r="B56" i="3"/>
  <c r="A55" i="3"/>
  <c r="H55" i="3" s="1"/>
  <c r="A59" i="4" l="1"/>
  <c r="G59" i="4" s="1"/>
  <c r="B60" i="4"/>
  <c r="A53" i="11"/>
  <c r="G53" i="1"/>
  <c r="D52" i="11" s="1"/>
  <c r="A56" i="3"/>
  <c r="H56" i="3" s="1"/>
  <c r="B57" i="3"/>
  <c r="B54" i="11"/>
  <c r="B55" i="1"/>
  <c r="A54" i="1"/>
  <c r="A62" i="5"/>
  <c r="A60" i="5"/>
  <c r="A61" i="5" s="1"/>
  <c r="F59" i="5"/>
  <c r="A54" i="11" l="1"/>
  <c r="G54" i="1"/>
  <c r="D53" i="11" s="1"/>
  <c r="B55" i="11"/>
  <c r="A55" i="1"/>
  <c r="B56" i="1"/>
  <c r="A64" i="5"/>
  <c r="A63" i="5"/>
  <c r="F63" i="5" s="1"/>
  <c r="F62" i="5"/>
  <c r="A57" i="3"/>
  <c r="H57" i="3" s="1"/>
  <c r="B58" i="3"/>
  <c r="B61" i="4"/>
  <c r="A60" i="4"/>
  <c r="G60" i="4" s="1"/>
  <c r="A55" i="11" l="1"/>
  <c r="G55" i="1"/>
  <c r="D54" i="11" s="1"/>
  <c r="B64" i="4"/>
  <c r="B62" i="4"/>
  <c r="A61" i="4"/>
  <c r="G61" i="4" s="1"/>
  <c r="B59" i="3"/>
  <c r="A58" i="3"/>
  <c r="H58" i="3" s="1"/>
  <c r="A65" i="5"/>
  <c r="A66" i="5"/>
  <c r="F64" i="5"/>
  <c r="B56" i="11"/>
  <c r="A56" i="1"/>
  <c r="B57" i="1"/>
  <c r="A56" i="11" l="1"/>
  <c r="G56" i="1"/>
  <c r="D55" i="11" s="1"/>
  <c r="A62" i="4"/>
  <c r="B63" i="4"/>
  <c r="A63" i="4" s="1"/>
  <c r="B65" i="4"/>
  <c r="A65" i="4" s="1"/>
  <c r="A64" i="4"/>
  <c r="G64" i="4" s="1"/>
  <c r="B66" i="4"/>
  <c r="B60" i="3"/>
  <c r="A59" i="3"/>
  <c r="H59" i="3" s="1"/>
  <c r="B57" i="11"/>
  <c r="B58" i="1"/>
  <c r="B60" i="1"/>
  <c r="A57" i="1"/>
  <c r="F66" i="5"/>
  <c r="A68" i="5"/>
  <c r="A67" i="5"/>
  <c r="F67" i="5" s="1"/>
  <c r="A57" i="11" l="1"/>
  <c r="G57" i="1"/>
  <c r="D56" i="11" s="1"/>
  <c r="B67" i="4"/>
  <c r="B68" i="4"/>
  <c r="A66" i="4"/>
  <c r="G66" i="4" s="1"/>
  <c r="B15" i="9"/>
  <c r="B17" i="9"/>
  <c r="B6" i="9"/>
  <c r="B22" i="9"/>
  <c r="B14" i="9"/>
  <c r="B20" i="9"/>
  <c r="B5" i="9"/>
  <c r="B8" i="9"/>
  <c r="B4" i="9"/>
  <c r="B19" i="9"/>
  <c r="B18" i="9"/>
  <c r="B7" i="9"/>
  <c r="A60" i="3"/>
  <c r="H60" i="3" s="1"/>
  <c r="B64" i="3"/>
  <c r="B62" i="3"/>
  <c r="B60" i="11"/>
  <c r="B61" i="1"/>
  <c r="A60" i="1"/>
  <c r="F68" i="5"/>
  <c r="A73" i="5"/>
  <c r="F73" i="5" s="1"/>
  <c r="F75" i="5" s="1"/>
  <c r="A69" i="5"/>
  <c r="B58" i="11"/>
  <c r="B59" i="1"/>
  <c r="B59" i="11" s="1"/>
  <c r="A60" i="11" l="1"/>
  <c r="G60" i="1"/>
  <c r="D59" i="11" s="1"/>
  <c r="A64" i="3"/>
  <c r="H64" i="3" s="1"/>
  <c r="B65" i="3"/>
  <c r="A67" i="4"/>
  <c r="A62" i="3"/>
  <c r="B63" i="3"/>
  <c r="A63" i="3" s="1"/>
  <c r="B69" i="4"/>
  <c r="A69" i="4" s="1"/>
  <c r="G69" i="4" s="1"/>
  <c r="A68" i="4"/>
  <c r="B70" i="4"/>
  <c r="A70" i="4" s="1"/>
  <c r="G70" i="4" s="1"/>
  <c r="G76" i="4" s="1"/>
  <c r="B61" i="11"/>
  <c r="B63" i="1"/>
  <c r="B62" i="1"/>
  <c r="A61" i="1"/>
  <c r="B10" i="9"/>
  <c r="B12" i="9"/>
  <c r="A61" i="11" l="1"/>
  <c r="G61" i="1"/>
  <c r="D60" i="11" s="1"/>
  <c r="B67" i="3"/>
  <c r="B66" i="3"/>
  <c r="A66" i="3" s="1"/>
  <c r="A65" i="3"/>
  <c r="H65" i="3" s="1"/>
  <c r="B63" i="11"/>
  <c r="B65" i="1"/>
  <c r="B64" i="1"/>
  <c r="A63" i="1"/>
  <c r="B62" i="11"/>
  <c r="A62" i="1"/>
  <c r="A62" i="11" s="1"/>
  <c r="A63" i="11" l="1"/>
  <c r="G63" i="1"/>
  <c r="D62" i="11" s="1"/>
  <c r="B65" i="11"/>
  <c r="B66" i="1"/>
  <c r="B67" i="1"/>
  <c r="A65" i="1"/>
  <c r="B71" i="1"/>
  <c r="B68" i="3"/>
  <c r="A67" i="3"/>
  <c r="H67" i="3" s="1"/>
  <c r="B69" i="3"/>
  <c r="B64" i="11"/>
  <c r="A64" i="1"/>
  <c r="A64" i="11" l="1"/>
  <c r="G64" i="1"/>
  <c r="D63" i="11" s="1"/>
  <c r="B66" i="11"/>
  <c r="A66" i="1"/>
  <c r="B71" i="11"/>
  <c r="A71" i="1"/>
  <c r="A65" i="11"/>
  <c r="G65" i="1"/>
  <c r="D64" i="11" s="1"/>
  <c r="A68" i="3"/>
  <c r="H68" i="3" s="1"/>
  <c r="B72" i="3"/>
  <c r="A69" i="3"/>
  <c r="H69" i="3" s="1"/>
  <c r="B70" i="3"/>
  <c r="A70" i="3" s="1"/>
  <c r="B67" i="11"/>
  <c r="A67" i="1"/>
  <c r="A67" i="11" l="1"/>
  <c r="G67" i="1"/>
  <c r="D66" i="11" s="1"/>
  <c r="A66" i="11"/>
  <c r="G66" i="1"/>
  <c r="D65" i="11" s="1"/>
  <c r="A72" i="3"/>
  <c r="B75" i="3"/>
  <c r="A71" i="11"/>
  <c r="G71" i="1"/>
  <c r="A75" i="3" l="1"/>
  <c r="H75" i="3" s="1"/>
  <c r="B15" i="10"/>
  <c r="B14" i="10"/>
  <c r="B19" i="10"/>
  <c r="B8" i="10"/>
  <c r="B7" i="10"/>
  <c r="B5" i="10"/>
  <c r="B18" i="10"/>
  <c r="B17" i="10"/>
  <c r="B4" i="10"/>
  <c r="B6" i="10"/>
  <c r="B20" i="10"/>
  <c r="B22" i="10"/>
  <c r="D70" i="11"/>
  <c r="G73" i="1"/>
  <c r="B10" i="10"/>
  <c r="B12"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N2" authorId="0" shapeId="0" xr:uid="{00000000-0006-0000-0000-000001000000}">
      <text>
        <r>
          <rPr>
            <sz val="10"/>
            <color rgb="FF000000"/>
            <rFont val="Arial"/>
          </rPr>
          <t>Savior of the Nations: The Savior begins his ministry
Jesus was a Jew, born in Judea, born into a Jewish family. But he came to be the Savior or all people. He began his ministry when he was baptized by John the Baptist in the River Jordan. God the Father declared that he is well pleased with his Son. When we are baptized and clothed with Christ, the Father is pleased with us, as well.</t>
        </r>
      </text>
    </comment>
    <comment ref="O2" authorId="0" shapeId="0" xr:uid="{00000000-0006-0000-0000-000002000000}">
      <text>
        <r>
          <rPr>
            <sz val="10"/>
            <color rgb="FF000000"/>
            <rFont val="Arial"/>
          </rPr>
          <t>Father in heaven, at the baptism of Jesus in the River Jordan you proclaimed him your beloved Son and anointed him with the Holy Spirit. Keep us who are baptized into Christ faithful in our calling as your children and make us heirs with him of everlasting life; through your Son, Jesus Christ our Lord, who lives and reigns with you and the Holy Spirit, one God, now and forever.</t>
        </r>
      </text>
    </comment>
    <comment ref="P2" authorId="0" shapeId="0" xr:uid="{00000000-0006-0000-0000-000003000000}">
      <text>
        <r>
          <rPr>
            <sz val="10"/>
            <color rgb="FF000000"/>
            <rFont val="Arial"/>
          </rPr>
          <t>Alleluia! You are my Son, whom I love; with you I am well pleased. Alleluia!</t>
        </r>
      </text>
    </comment>
    <comment ref="S2" authorId="0" shapeId="0" xr:uid="{00000000-0006-0000-0000-000004000000}">
      <text>
        <r>
          <rPr>
            <sz val="10"/>
            <color rgb="FF000000"/>
            <rFont val="Arial"/>
          </rPr>
          <t>The Anointed One will come to bring salvation not only for the chosen Jews but for all people everywhere on earth.</t>
        </r>
      </text>
    </comment>
    <comment ref="T2" authorId="0" shapeId="0" xr:uid="{00000000-0006-0000-0000-000005000000}">
      <text>
        <r>
          <rPr>
            <sz val="10"/>
            <color rgb="FF000000"/>
            <rFont val="Arial"/>
          </rPr>
          <t>Paul assured the jailer in Philippi, "Believe in the Lord Jesus, and you will be saved."</t>
        </r>
      </text>
    </comment>
    <comment ref="U2" authorId="0" shapeId="0" xr:uid="{00000000-0006-0000-0000-000006000000}">
      <text>
        <r>
          <rPr>
            <sz val="10"/>
            <color rgb="FF000000"/>
            <rFont val="Arial"/>
          </rPr>
          <t>Jesus is shown to be the Lord's Anointed One at his baptism.</t>
        </r>
      </text>
    </comment>
    <comment ref="N3" authorId="0" shapeId="0" xr:uid="{00000000-0006-0000-0000-000007000000}">
      <text>
        <r>
          <rPr>
            <sz val="10"/>
            <color rgb="FF000000"/>
            <rFont val="Arial"/>
          </rPr>
          <t>Savior of the Nations: Jesus calls Philip and Nathanael
The Savior of the nations calls us to follow him. Jesus revealed himself to Philip and Nathanael as the King of Israel, and he invited them to follow him.
We too have heard Jesus' call. He calls us to follow him as our Lord and Master, and he gives us faith to trust in him. Through his call, we believe.</t>
        </r>
      </text>
    </comment>
    <comment ref="O3" authorId="0" shapeId="0" xr:uid="{00000000-0006-0000-0000-000008000000}">
      <text>
        <r>
          <rPr>
            <sz val="10"/>
            <color rgb="FF000000"/>
            <rFont val="Arial"/>
          </rPr>
          <t>Almighty God, you gave your one and only Son to be the light of the world. Grant that your people, illumined by your Word and sacraments, may shine with the radiance of Christ’s glory, that he may be known, worshiped, and believed to the ends of the earth; through Jesus Christ our Lord, who with you and the Holy Spirit lives and reigns, one God, now and forever.</t>
        </r>
      </text>
    </comment>
    <comment ref="P3" authorId="0" shapeId="0" xr:uid="{00000000-0006-0000-0000-000009000000}">
      <text>
        <r>
          <rPr>
            <sz val="10"/>
            <color rgb="FF000000"/>
            <rFont val="Arial"/>
          </rPr>
          <t>Alleluia! He said to me, “You are my servant in whom I will display my splendor.” Alleluia!</t>
        </r>
      </text>
    </comment>
    <comment ref="S3" authorId="0" shapeId="0" xr:uid="{00000000-0006-0000-0000-00000A000000}">
      <text>
        <r>
          <rPr>
            <sz val="10"/>
            <color rgb="FF000000"/>
            <rFont val="Arial"/>
          </rPr>
          <t>The Lord called the boy Samuel to follow him and serve as prophet and judge over Israel.</t>
        </r>
      </text>
    </comment>
    <comment ref="T3" authorId="0" shapeId="0" xr:uid="{00000000-0006-0000-0000-00000B000000}">
      <text>
        <r>
          <rPr>
            <sz val="10"/>
            <color rgb="FF000000"/>
            <rFont val="Arial"/>
          </rPr>
          <t>The Lord calls us away from the world's disobedience and immorality and sets us apart to be his own temple.</t>
        </r>
      </text>
    </comment>
    <comment ref="U3" authorId="0" shapeId="0" xr:uid="{00000000-0006-0000-0000-00000C000000}">
      <text>
        <r>
          <rPr>
            <sz val="10"/>
            <color rgb="FF000000"/>
            <rFont val="Arial"/>
          </rPr>
          <t>Jesus calls Philip and Nathanael to follow him.</t>
        </r>
      </text>
    </comment>
    <comment ref="N4" authorId="0" shapeId="0" xr:uid="{00000000-0006-0000-0000-00000D000000}">
      <text>
        <r>
          <rPr>
            <sz val="10"/>
            <color rgb="FF000000"/>
            <rFont val="Arial"/>
          </rPr>
          <t>Savior of the Nations: You will fish for people
Jesus called Peter, Andrew, James and John away from their trade as fishermen. He gave them a noble call to follow him and to fish for people.
When the good news of the Savior reaches human ears and human hearts, souls receive the gift of salvation and are brought into the kingdom of God. We too are called to fish for people, as we share the good news of Jesus, the Savior of all people.</t>
        </r>
      </text>
    </comment>
    <comment ref="O4" authorId="0" shapeId="0" xr:uid="{00000000-0006-0000-0000-00000E000000}">
      <text>
        <r>
          <rPr>
            <sz val="10"/>
            <color rgb="FF000000"/>
            <rFont val="Arial"/>
          </rPr>
          <t>Almighty God, you sent your Son to proclaim your kingdom and to teach with authority. Anoint us with the power of your Spirit that we, too, may bring good news to the afflicted, bind up the brokenhearted, and proclaim liberty to the captive; through Jesus Christ, your Son, our Lord, who lives and reigns with you and the Holy Spirit, one God, now and forever.</t>
        </r>
      </text>
    </comment>
    <comment ref="P4" authorId="0" shapeId="0" xr:uid="{00000000-0006-0000-0000-00000F000000}">
      <text>
        <r>
          <rPr>
            <sz val="10"/>
            <color rgb="FF000000"/>
            <rFont val="Arial"/>
          </rPr>
          <t>Alleluia! Jesus went throughout Galilee, teaching, preaching, and healing every disease. Alleluia!</t>
        </r>
      </text>
    </comment>
    <comment ref="S4" authorId="0" shapeId="0" xr:uid="{00000000-0006-0000-0000-000010000000}">
      <text>
        <r>
          <rPr>
            <sz val="10"/>
            <color rgb="FF000000"/>
            <rFont val="Arial"/>
          </rPr>
          <t>God's grace brings repentance and faith to the Ninevites through Jonah's mission work.</t>
        </r>
      </text>
    </comment>
    <comment ref="T4" authorId="0" shapeId="0" xr:uid="{00000000-0006-0000-0000-000011000000}">
      <text>
        <r>
          <rPr>
            <sz val="10"/>
            <color rgb="FF000000"/>
            <rFont val="Arial"/>
          </rPr>
          <t>God's grace accompanies Paul and Barnabas in all their mission travels.</t>
        </r>
      </text>
    </comment>
    <comment ref="U4" authorId="0" shapeId="0" xr:uid="{00000000-0006-0000-0000-000012000000}">
      <text>
        <r>
          <rPr>
            <sz val="10"/>
            <color rgb="FF000000"/>
            <rFont val="Arial"/>
          </rPr>
          <t>There is plenty of work to do in the kingdom of God.</t>
        </r>
      </text>
    </comment>
    <comment ref="N5" authorId="0" shapeId="0" xr:uid="{00000000-0006-0000-0000-000013000000}">
      <text>
        <r>
          <rPr>
            <sz val="10"/>
            <color rgb="FF000000"/>
            <rFont val="Arial"/>
          </rPr>
          <t>Savior of the Nations: Jesus has power over evil spirits
The Savior of the nations came to set people free from bondage to sin and from captivity to Satan. Jesus met people who were under the direct control of evil spirits. He drove the evil spirit out and set the afflicted person free from demonic influence. Satan hurled all his weapons at the Son of God, but Jesus deflected and overcame them every time. The powers of darkness cannot stand against the Savior of the nations.</t>
        </r>
      </text>
    </comment>
    <comment ref="O5" authorId="0" shapeId="0" xr:uid="{00000000-0006-0000-0000-000014000000}">
      <text>
        <r>
          <rPr>
            <sz val="10"/>
            <color rgb="FF000000"/>
            <rFont val="Arial"/>
          </rPr>
          <t>Lord God, you know that we are surrounded by many dangers and that we often stumble and fall. Strengthen us in body and mind, and bring us safely through all temptations; through Jesus Christ, your Son, our Lord, who lives and reigns with you and the Holy Spirit, one God, now and forever.</t>
        </r>
      </text>
    </comment>
    <comment ref="P5" authorId="0" shapeId="0" xr:uid="{00000000-0006-0000-0000-000015000000}">
      <text>
        <r>
          <rPr>
            <sz val="10"/>
            <color rgb="FF000000"/>
            <rFont val="Arial"/>
          </rPr>
          <t>Alleluia! The Spirit of the Lord is on me; he has anointed me to preach good news. Alleluia!</t>
        </r>
      </text>
    </comment>
    <comment ref="S5" authorId="0" shapeId="0" xr:uid="{00000000-0006-0000-0000-000016000000}">
      <text>
        <r>
          <rPr>
            <sz val="10"/>
            <color rgb="FF000000"/>
            <rFont val="Arial"/>
          </rPr>
          <t>God promised a prophet who, like Moses, would speak in God's name.</t>
        </r>
      </text>
    </comment>
    <comment ref="T5" authorId="0" shapeId="0" xr:uid="{00000000-0006-0000-0000-000017000000}">
      <text>
        <r>
          <rPr>
            <sz val="10"/>
            <color rgb="FF000000"/>
            <rFont val="Arial"/>
          </rPr>
          <t>We want to be careful that our behavior or attitude does not create doubts for other people.</t>
        </r>
      </text>
    </comment>
    <comment ref="U5" authorId="0" shapeId="0" xr:uid="{00000000-0006-0000-0000-000018000000}">
      <text>
        <r>
          <rPr>
            <sz val="10"/>
            <color rgb="FF000000"/>
            <rFont val="Arial"/>
          </rPr>
          <t>Jesus' words of power performed miraculous signs and taught with authority.</t>
        </r>
      </text>
    </comment>
    <comment ref="N6" authorId="0" shapeId="0" xr:uid="{00000000-0006-0000-0000-000019000000}">
      <text>
        <r>
          <rPr>
            <sz val="10"/>
            <color rgb="FF000000"/>
            <rFont val="Arial"/>
          </rPr>
          <t xml:space="preserve">Christian Education: Telling the Next Generation
Moses commanded Israelite parents to impress the Word of God upon the next generation by telling their children all that the Lord had done. Today, the Lord still entrusts parents with the responsibility of telling the next generation.
Today we give thanks to the Lord for Christian education. We remember those of previous generations who have taught us the precious truths of Scripture. As children of all ages, we continue to sit at Jesus’ feet to grow in his grace, that we too may tell the next generation all that the Lord has done.
</t>
        </r>
      </text>
    </comment>
    <comment ref="O6" authorId="0" shapeId="0" xr:uid="{00000000-0006-0000-0000-00001A000000}">
      <text>
        <r>
          <rPr>
            <sz val="10"/>
            <color rgb="FF000000"/>
            <rFont val="Arial"/>
          </rPr>
          <t>Almighty God, you sent your one and only Son as the Word of life for our eyes to see and our ears to hear. Help us believe what the Scriptures proclaim about him and do the things that are pleasing in your sight; through Jesus Christ, your Son, our Lord, who lives and reigns with you and the Holy Spirit, one God, now and forever.</t>
        </r>
      </text>
    </comment>
    <comment ref="S6" authorId="0" shapeId="0" xr:uid="{00000000-0006-0000-0000-00001B000000}">
      <text>
        <r>
          <rPr>
            <sz val="10"/>
            <color rgb="FF000000"/>
            <rFont val="Arial"/>
          </rPr>
          <t>Christian education takes place at home or on the road as parents instruct their children.</t>
        </r>
      </text>
    </comment>
    <comment ref="T6" authorId="0" shapeId="0" xr:uid="{00000000-0006-0000-0000-00001C000000}">
      <text>
        <r>
          <rPr>
            <sz val="10"/>
            <color rgb="FF000000"/>
            <rFont val="Arial"/>
          </rPr>
          <t>God gives temporal and eternal blessings through Christian parents.</t>
        </r>
      </text>
    </comment>
    <comment ref="U6" authorId="0" shapeId="0" xr:uid="{00000000-0006-0000-0000-00001D000000}">
      <text>
        <r>
          <rPr>
            <sz val="10"/>
            <color rgb="FF000000"/>
            <rFont val="Arial"/>
          </rPr>
          <t>Children were brought to Jesus to receive his blessing.</t>
        </r>
      </text>
    </comment>
    <comment ref="N7" authorId="0" shapeId="0" xr:uid="{00000000-0006-0000-0000-00001E000000}">
      <text>
        <r>
          <rPr>
            <sz val="10"/>
            <color rgb="FF000000"/>
            <rFont val="Arial"/>
          </rPr>
          <t>Savior of the Nations: Christ shines in glory
Jesus looked like an ordinary man. Isaiah had prophesied, "He had no beauty or majesty to attract us to him, nothing in his appearance that we should desire him" (Is 53:2). Yet for just a short time the disciples got a glimpse of Jesus in all his glorious splendor. The teacher they followed really is God veiled in human flesh. Jesus spoke with Moses and Elijah of his looming death on the cross. The disciples gained a glimpse of glory that would sustain them on the difficult way of the cross that lay ahead.</t>
        </r>
      </text>
    </comment>
    <comment ref="O7" authorId="0" shapeId="0" xr:uid="{00000000-0006-0000-0000-00001F000000}">
      <text>
        <r>
          <rPr>
            <sz val="10"/>
            <color rgb="FF000000"/>
            <rFont val="Arial"/>
          </rPr>
          <t>Lord God, before the suffering and death of your one and only Son, you revealed his glory on the holy mountain. Grant that we who bear his cross on earth may behold by faith the light of his heavenly glory and so be changed into his likeness; through Jesus Christ our Lord, who lives and reigns with you and the Holy Spirit, one God, now and forever.</t>
        </r>
      </text>
    </comment>
    <comment ref="P7" authorId="0" shapeId="0" xr:uid="{00000000-0006-0000-0000-000020000000}">
      <text>
        <r>
          <rPr>
            <sz val="10"/>
            <color rgb="FF000000"/>
            <rFont val="Arial"/>
          </rPr>
          <t>Alleluia! A voice came from the cloud: “This is my Son, whom I love. Listen to him.” Alleluia!</t>
        </r>
      </text>
    </comment>
    <comment ref="S7" authorId="0" shapeId="0" xr:uid="{00000000-0006-0000-0000-000021000000}">
      <text>
        <r>
          <rPr>
            <sz val="10"/>
            <color rgb="FF000000"/>
            <rFont val="Arial"/>
          </rPr>
          <t>Elijah was taken up to heaven in a whirlwind and a chariot of fire.</t>
        </r>
      </text>
    </comment>
    <comment ref="T7" authorId="0" shapeId="0" xr:uid="{00000000-0006-0000-0000-000022000000}">
      <text>
        <r>
          <rPr>
            <sz val="10"/>
            <color rgb="FF000000"/>
            <rFont val="Arial"/>
          </rPr>
          <t>In the gospel of forgiveness, God's glory in Christ is revealed.</t>
        </r>
      </text>
    </comment>
    <comment ref="U7" authorId="0" shapeId="0" xr:uid="{00000000-0006-0000-0000-000023000000}">
      <text>
        <r>
          <rPr>
            <sz val="10"/>
            <color rgb="FF000000"/>
            <rFont val="Arial"/>
          </rPr>
          <t>Jesus reveals his glory in the transfiguration.</t>
        </r>
      </text>
    </comment>
    <comment ref="N8" authorId="0" shapeId="0" xr:uid="{00000000-0006-0000-0000-000024000000}">
      <text>
        <r>
          <rPr>
            <sz val="10"/>
            <color rgb="FF000000"/>
            <rFont val="Arial"/>
          </rPr>
          <t>Jesus is our great High Priest
The wickedness of our sin has left a huge gulf between us and God. There is no way we can bridge that gulf and reach up to the Almighty, so God reached down to us.
Jesus our great High Priest is our sacrifice and our mediator. He made himself the victim to bear our sins, and he himself offered the sacrifice that removes all sin. Now his innocent blood intercedes for us, pleading before God the Father's throne for our forgiveness.</t>
        </r>
      </text>
    </comment>
    <comment ref="S8" authorId="0" shapeId="0" xr:uid="{00000000-0006-0000-0000-000025000000}">
      <text>
        <r>
          <rPr>
            <sz val="10"/>
            <color rgb="FF000000"/>
            <rFont val="Arial"/>
          </rPr>
          <t>Our sins have separated us from God. We cannot save ourselves, so God stepped in to save us.</t>
        </r>
      </text>
    </comment>
    <comment ref="T8" authorId="0" shapeId="0" xr:uid="{00000000-0006-0000-0000-000026000000}">
      <text>
        <r>
          <rPr>
            <sz val="10"/>
            <color rgb="FF000000"/>
            <rFont val="Arial"/>
          </rPr>
          <t>God reconciled us to himself in Christ and has committed to us the ministry of reconciliation.</t>
        </r>
      </text>
    </comment>
    <comment ref="U8" authorId="0" shapeId="0" xr:uid="{00000000-0006-0000-0000-000027000000}">
      <text>
        <r>
          <rPr>
            <sz val="10"/>
            <color rgb="FF000000"/>
            <rFont val="Arial"/>
          </rPr>
          <t>God opposes the proud, but he justifies and gives grace to the humble.</t>
        </r>
      </text>
    </comment>
    <comment ref="N9" authorId="0" shapeId="0" xr:uid="{00000000-0006-0000-0000-000028000000}">
      <text>
        <r>
          <rPr>
            <sz val="10"/>
            <color rgb="FF000000"/>
            <rFont val="Arial"/>
          </rPr>
          <t>The way of the cross: Temptation
Jesus calls us to take up his cross and follow him as his disciples. Carrying a cross of discipleship means we will face many temptations. Satan will press us hard and try to get us to stumble and fall--and he will often succeed.
In our struggle with temptation we remember that we trust in a Savior who was tempted in every way, just as we are, yet was without sin. He is our righteous Substitute, who forgives us when we sin, covers us with his perfect obedience, and gives us strength to continue battling the evil one.</t>
        </r>
      </text>
    </comment>
    <comment ref="O9" authorId="0" shapeId="0" xr:uid="{00000000-0006-0000-0000-000029000000}">
      <text>
        <r>
          <rPr>
            <sz val="10"/>
            <color rgb="FF000000"/>
            <rFont val="Arial"/>
          </rPr>
          <t>Lord our strength, the battle of good and evil rages within and around us, and our ancient foe tempts us with his deceits and empty promises. Keep us steadfast in your Word, and when we fall, raise us up again and restore us through your Son, Jesus Christ our Lord, who lives and reigns with you and the Holy Spirit, one God, now and forever.</t>
        </r>
      </text>
    </comment>
    <comment ref="P9" authorId="0" shapeId="0" xr:uid="{00000000-0006-0000-0000-00002A000000}">
      <text>
        <r>
          <rPr>
            <sz val="10"/>
            <color rgb="FF000000"/>
            <rFont val="Arial"/>
          </rPr>
          <t xml:space="preserve">It is written: “Worship the Lord your God, and serve him only.” </t>
        </r>
      </text>
    </comment>
    <comment ref="S9" authorId="0" shapeId="0" xr:uid="{00000000-0006-0000-0000-00002B000000}">
      <text>
        <r>
          <rPr>
            <sz val="10"/>
            <color rgb="FF000000"/>
            <rFont val="Arial"/>
          </rPr>
          <t>Abraham's faith was tested when he was instructed to sacrifice his only son.</t>
        </r>
      </text>
    </comment>
    <comment ref="T9" authorId="0" shapeId="0" xr:uid="{00000000-0006-0000-0000-00002C000000}">
      <text>
        <r>
          <rPr>
            <sz val="10"/>
            <color rgb="FF000000"/>
            <rFont val="Arial"/>
          </rPr>
          <t>If God is for us, who can be against us? We are more than conquerors through Christ!</t>
        </r>
      </text>
    </comment>
    <comment ref="U9" authorId="0" shapeId="0" xr:uid="{00000000-0006-0000-0000-00002D000000}">
      <text>
        <r>
          <rPr>
            <sz val="10"/>
            <color rgb="FF000000"/>
            <rFont val="Arial"/>
          </rPr>
          <t>The way of the cross meant confronting Satan and overcoming every temptation.</t>
        </r>
      </text>
    </comment>
    <comment ref="N10" authorId="0" shapeId="0" xr:uid="{00000000-0006-0000-0000-00002E000000}">
      <text>
        <r>
          <rPr>
            <sz val="10"/>
            <color rgb="FF000000"/>
            <rFont val="Arial"/>
          </rPr>
          <t>Jesus is our compassionate High Priest
Jesus understands our weaknesses. He's been there. He has borne our sorrows, carried our pain, suffered our punishment, and died our death. He knows what it is to walk in your shoes. He's been there. His compassion extends to us, as he comforts and reassures us of his love and forgiveness.</t>
        </r>
      </text>
    </comment>
    <comment ref="O10" authorId="0" shapeId="0" xr:uid="{00000000-0006-0000-0000-00002F000000}">
      <text>
        <r>
          <rPr>
            <sz val="10"/>
            <color rgb="FF000000"/>
            <rFont val="Arial"/>
          </rPr>
          <t>Lord God, you have planted us like trees beside streams of water. Grant that we may ever delight in your Word and yield abundant fruit in our lives; through Jesus Christ, your Son, our Lord.</t>
        </r>
      </text>
    </comment>
    <comment ref="S10" authorId="0" shapeId="0" xr:uid="{00000000-0006-0000-0000-000030000000}">
      <text>
        <r>
          <rPr>
            <sz val="10"/>
            <color rgb="FF000000"/>
            <rFont val="Arial"/>
          </rPr>
          <t>The Passover and the Lord's Supper
Compiled from the four Gospels</t>
        </r>
      </text>
    </comment>
    <comment ref="N11" authorId="0" shapeId="0" xr:uid="{00000000-0006-0000-0000-000031000000}">
      <text>
        <r>
          <rPr>
            <sz val="10"/>
            <color rgb="FF000000"/>
            <rFont val="Arial"/>
          </rPr>
          <t>The way of the cross: Discipleship
Jesus calls us to take up his cross and follow him as his disciples. The word disciple means "learner." We learn from our Lord and Master. We learn his will, we learn his Word, and we learn to walk in his way. There is no better path to follow than the path that follows the Master Rabbi.</t>
        </r>
      </text>
    </comment>
    <comment ref="O11" authorId="0" shapeId="0" xr:uid="{00000000-0006-0000-0000-000032000000}">
      <text>
        <r>
          <rPr>
            <sz val="10"/>
            <color rgb="FF000000"/>
            <rFont val="Arial"/>
          </rPr>
          <t>Almighty God, you see that we have no power to defend ourselves. Guard and keep us both outwardly and inwardly from all adversities that may happen to the body and from all evil thoughts that may assault and hurt the soul; through Jesus Christ our Lord, who lives and reigns with you and the Holy Spirit, one God, now and forever.</t>
        </r>
      </text>
    </comment>
    <comment ref="P11" authorId="0" shapeId="0" xr:uid="{00000000-0006-0000-0000-000033000000}">
      <text>
        <r>
          <rPr>
            <sz val="10"/>
            <color rgb="FF000000"/>
            <rFont val="Arial"/>
          </rPr>
          <t>Jesus humbled himself and became obedient to death, even death on a cross.</t>
        </r>
      </text>
    </comment>
    <comment ref="S11" authorId="0" shapeId="0" xr:uid="{00000000-0006-0000-0000-000034000000}">
      <text>
        <r>
          <rPr>
            <sz val="10"/>
            <color rgb="FF000000"/>
            <rFont val="Arial"/>
          </rPr>
          <t>In a dream God made great promises to Jacob and called him to trust and follow him.</t>
        </r>
      </text>
    </comment>
    <comment ref="T11" authorId="0" shapeId="0" xr:uid="{00000000-0006-0000-0000-000035000000}">
      <text>
        <r>
          <rPr>
            <sz val="10"/>
            <color rgb="FF000000"/>
            <rFont val="Arial"/>
          </rPr>
          <t>God demonstrates his own love for us in this: While we were still sinners Christ died for us.</t>
        </r>
      </text>
    </comment>
    <comment ref="U11" authorId="0" shapeId="0" xr:uid="{00000000-0006-0000-0000-000036000000}">
      <text>
        <r>
          <rPr>
            <sz val="10"/>
            <color rgb="FF000000"/>
            <rFont val="Arial"/>
          </rPr>
          <t>Jesus calls us to take up the cross of discipleship and follow him.</t>
        </r>
      </text>
    </comment>
    <comment ref="N12" authorId="0" shapeId="0" xr:uid="{00000000-0006-0000-0000-000037000000}">
      <text>
        <r>
          <rPr>
            <sz val="10"/>
            <color rgb="FF000000"/>
            <rFont val="Arial"/>
          </rPr>
          <t>Jesus is our self-sacrificing High Priest
How far would you go to rescue someone from a mess they have gotten themselves into? Would you sacrifice your own life for the foolish misdeeds of someone else?
The wages of sin is death. Only death could satisfy the debt of sin and pay the price of forgiveness. Jesus took our death upon himself and sacrificed himself when he willingly laid down his life for the sheep.</t>
        </r>
      </text>
    </comment>
    <comment ref="O12" authorId="0" shapeId="0" xr:uid="{00000000-0006-0000-0000-000038000000}">
      <text>
        <r>
          <rPr>
            <sz val="10"/>
            <color rgb="FF000000"/>
            <rFont val="Arial"/>
          </rPr>
          <t>Gracious Father, in countless ways we have transgressed your law. By your infinite mercy, you have forgiven the guilt of our sin. Surround us with your unfailing love, that we may rejoice in your great goodness now and forever; through your Son, Jesus Christ, our Lord.</t>
        </r>
      </text>
    </comment>
    <comment ref="S12" authorId="0" shapeId="0" xr:uid="{00000000-0006-0000-0000-000039000000}">
      <text>
        <r>
          <rPr>
            <sz val="10"/>
            <color rgb="FF000000"/>
            <rFont val="Arial"/>
          </rPr>
          <t>The Garden of Gethsemane
Compiled from the four Gospels</t>
        </r>
      </text>
    </comment>
    <comment ref="N13" authorId="0" shapeId="0" xr:uid="{00000000-0006-0000-0000-00003A000000}">
      <text>
        <r>
          <rPr>
            <sz val="10"/>
            <color rgb="FF000000"/>
            <rFont val="Arial"/>
          </rPr>
          <t>The way of the cross: Zeal
Make no mistake about it: Jesus was intense! He had zero tolerance for activities that dishonored God by turning his temple into a marketplace.
As Christ-followers we are passionate about Christ. We love Jesus and want to serve and please him. The message of the cross is foolishness to those who are perishing, but to us who are being saved it is the wisdom of God and power from God.
With zealous commitment we follow our Savior and walk in the way of the cross.</t>
        </r>
      </text>
    </comment>
    <comment ref="O13" authorId="0" shapeId="0" xr:uid="{00000000-0006-0000-0000-00003B000000}">
      <text>
        <r>
          <rPr>
            <sz val="10"/>
            <color rgb="FF000000"/>
            <rFont val="Arial"/>
          </rPr>
          <t>Almighty God, look with favor on your humble servants and stretch out the right hand of your power to defend us against all our enemies; through Jesus Christ, your Son, our Lord, who lives and reigns with you and the Holy Spirit, one God, now and forever.</t>
        </r>
      </text>
    </comment>
    <comment ref="R13" authorId="0" shapeId="0" xr:uid="{00000000-0006-0000-0000-00003C000000}">
      <text>
        <r>
          <rPr>
            <sz val="10"/>
            <color rgb="FF000000"/>
            <rFont val="Arial"/>
          </rPr>
          <t xml:space="preserve">Stumbling block: Wanted sign. Political Messiah. Isaiah: Nothing in his appearance that we should desire him. 
Foolishness to Greeks: Only sign=resurrection; no resurrection.
Power from God - In him all fullness of the Deity dwells in bodily form. Wisdom not knowledge. Smallest child wiser than the smartest philosopher who doesn't know Christ. Why? Child has eternal life. Philosopher has no hope, no future beyond this brief life, no peace, no comfort.
Wisdom: place self in Christ's hands! Total surrender. Complete confidence.
</t>
        </r>
      </text>
    </comment>
    <comment ref="S13" authorId="0" shapeId="0" xr:uid="{00000000-0006-0000-0000-00003D000000}">
      <text>
        <r>
          <rPr>
            <sz val="10"/>
            <color rgb="FF000000"/>
            <rFont val="Arial"/>
          </rPr>
          <t>The Commandments guide us in the way of thankful obedience to God.</t>
        </r>
      </text>
    </comment>
    <comment ref="T13" authorId="0" shapeId="0" xr:uid="{00000000-0006-0000-0000-00003E000000}">
      <text>
        <r>
          <rPr>
            <sz val="10"/>
            <color rgb="FF000000"/>
            <rFont val="Arial"/>
          </rPr>
          <t>We preach Christ crucified!</t>
        </r>
      </text>
    </comment>
    <comment ref="U13" authorId="0" shapeId="0" xr:uid="{00000000-0006-0000-0000-00003F000000}">
      <text>
        <r>
          <rPr>
            <sz val="10"/>
            <color rgb="FF000000"/>
            <rFont val="Arial"/>
          </rPr>
          <t>Jesus was not interested in popularity. Zeal for his Father's house consumed him.</t>
        </r>
      </text>
    </comment>
    <comment ref="N14" authorId="0" shapeId="0" xr:uid="{00000000-0006-0000-0000-000040000000}">
      <text>
        <r>
          <rPr>
            <sz val="10"/>
            <color rgb="FF000000"/>
            <rFont val="Arial"/>
          </rPr>
          <t>Jesus our great High Priest serves at a great altar
In the Old Testament the priests ministered with their prayers, incense and sacrifices at the tabernacle or at the temple. They served at an altar built with human hands.
Jesus did not enter a temple made with human hands when he offered the perfect sacrifice. He entered heaven itself with his own blood as the propitiation (payment) for the sin of the world. He still intercedes for us in heaven. pleading before his Father's throne for our forgiveness and salvation.</t>
        </r>
      </text>
    </comment>
    <comment ref="O14" authorId="0" shapeId="0" xr:uid="{00000000-0006-0000-0000-000041000000}">
      <text>
        <r>
          <rPr>
            <sz val="10"/>
            <color rgb="FF000000"/>
            <rFont val="Arial"/>
          </rPr>
          <t>Lord God, you are merciful and tenderhearted, abounding in love and faithfulness. Turn to us in our anguish over sin and hear our cry for mercy, that we may know your peace; through Jesus Christ, your Son, our Lord.</t>
        </r>
      </text>
    </comment>
    <comment ref="S14" authorId="0" shapeId="0" xr:uid="{00000000-0006-0000-0000-000042000000}">
      <text>
        <r>
          <rPr>
            <sz val="10"/>
            <color rgb="FF000000"/>
            <rFont val="Arial"/>
          </rPr>
          <t>The trial before the high priest
Compiled from the four Gospels</t>
        </r>
      </text>
    </comment>
    <comment ref="N15" authorId="0" shapeId="0" xr:uid="{00000000-0006-0000-0000-000043000000}">
      <text>
        <r>
          <rPr>
            <sz val="10"/>
            <color rgb="FF000000"/>
            <rFont val="Arial"/>
          </rPr>
          <t>The way of the cross: Brought from death to life.
The world stands under a death sentence. There's no way to escape it: We're all dying! Death and decay are all around us. Death is the default setting.
In to this gloomy and sobering reality steps Jesus. He is the perfect, life-giving gift of God's eternal love. He overcomes death and restores life and immortality.
The Old Testament Israelites looked to Moses' bronze serpent for healing. in the New Testament we look to the Son of God, who was lifted up on the cross for the sins of the world. In Jesus we have forgiveness, life, and salvation!</t>
        </r>
      </text>
    </comment>
    <comment ref="P15" authorId="0" shapeId="0" xr:uid="{00000000-0006-0000-0000-000044000000}">
      <text>
        <r>
          <rPr>
            <sz val="10"/>
            <color rgb="FF000000"/>
            <rFont val="Arial"/>
          </rPr>
          <t xml:space="preserve">For God so loved the world that he gave his one and only Son, that whoever believes in him shall not perish but have eternal life. </t>
        </r>
      </text>
    </comment>
    <comment ref="R15" authorId="0" shapeId="0" xr:uid="{00000000-0006-0000-0000-000045000000}">
      <text>
        <r>
          <rPr>
            <sz val="10"/>
            <color rgb="FF000000"/>
            <rFont val="Arial"/>
          </rPr>
          <t>It has to happen. there's no escaping it - death. It's the sobering reality we all must face because of sin. 
And because of this the Son of God had to die. it was a must.
Jesus viewed his work as a must. It has to happen. The Son of man must be lifted up, that whoever believes in him may have eternal life.</t>
        </r>
      </text>
    </comment>
    <comment ref="S15" authorId="0" shapeId="0" xr:uid="{00000000-0006-0000-0000-000046000000}">
      <text>
        <r>
          <rPr>
            <sz val="10"/>
            <color rgb="FF000000"/>
            <rFont val="Arial"/>
          </rPr>
          <t>Poisonous snakes brought death to the Israelites. Moses lifted up the bronze snake, and all who looked at it in faith were healed.</t>
        </r>
      </text>
    </comment>
    <comment ref="T15" authorId="0" shapeId="0" xr:uid="{00000000-0006-0000-0000-000047000000}">
      <text>
        <r>
          <rPr>
            <sz val="10"/>
            <color rgb="FF000000"/>
            <rFont val="Arial"/>
          </rPr>
          <t>Because of his great love for us, God, who is rich in mercy, brought us from death in sin to life in Christ.</t>
        </r>
      </text>
    </comment>
    <comment ref="U15" authorId="0" shapeId="0" xr:uid="{00000000-0006-0000-0000-000048000000}">
      <text>
        <r>
          <rPr>
            <sz val="10"/>
            <color rgb="FF000000"/>
            <rFont val="Arial"/>
          </rPr>
          <t>The Son of Man was lifted up on the cross for all to see, that all who believe in him might have eternal life.</t>
        </r>
      </text>
    </comment>
    <comment ref="N16" authorId="0" shapeId="0" xr:uid="{00000000-0006-0000-0000-000049000000}">
      <text>
        <r>
          <rPr>
            <sz val="10"/>
            <color rgb="FF000000"/>
            <rFont val="Arial"/>
          </rPr>
          <t>Jesus our great High Priest makes us priests
"There is one mediator between God and man, the man Christ Jesus." Jesus has opened the way for us to have direct access to our heavenly Father. He has removed the sins that blocked our access to God. Now we can approach our Father freely, joyfully, and without fear. We are priests of God with direct access to his throne of mercy</t>
        </r>
      </text>
    </comment>
    <comment ref="O16" authorId="0" shapeId="0" xr:uid="{00000000-0006-0000-0000-00004A000000}">
      <text>
        <r>
          <rPr>
            <sz val="10"/>
            <color rgb="FF000000"/>
            <rFont val="Arial"/>
          </rPr>
          <t>Lord our God, you did not forget the pierced body of your Son, and his sighing was not hidden from you. In your kindness, look also on us, your children, weighed down with sins, and grant us the fullness of your mercy; through Jesus Christ, your Son, our Lord.</t>
        </r>
      </text>
    </comment>
    <comment ref="S16" authorId="0" shapeId="0" xr:uid="{00000000-0006-0000-0000-00004B000000}">
      <text>
        <r>
          <rPr>
            <sz val="10"/>
            <color rgb="FF000000"/>
            <rFont val="Arial"/>
          </rPr>
          <t>The trial before Pontius Pilate
Compiled from the four Gospels</t>
        </r>
      </text>
    </comment>
    <comment ref="N17" authorId="0" shapeId="0" xr:uid="{00000000-0006-0000-0000-00004C000000}">
      <text>
        <r>
          <rPr>
            <sz val="10"/>
            <color rgb="FF000000"/>
            <rFont val="Arial"/>
          </rPr>
          <t>The way of the cross: Our failures, Jesus' faithfulness
Promises are made and promises are broken. We make commitments then forget to honor them. Our human experience takes us down a difficult path littered with disappointments, broken trust, shattered promises, and failed commitments.
Our Savior Jesus came to restore what was shattered by sin. He established a new covenant of grace and free forgiveness to replace the old covenant broken by our sins. Our failures have been overcome by Jesus' faithfulness.</t>
        </r>
      </text>
    </comment>
    <comment ref="O17" authorId="0" shapeId="0" xr:uid="{00000000-0006-0000-0000-00004D000000}">
      <text>
        <r>
          <rPr>
            <sz val="10"/>
            <color rgb="FF000000"/>
            <rFont val="Arial"/>
          </rPr>
          <t>Eternal God and Father, help us to remember Jesus, who obeyed your will and bore the cross for our salvation that through his anguish, pain, and death we may receive forgiveness of sins and inherit eternal life; through your Son, Jesus Christ our Lord, who lives and reigns with you and the Holy Spirit, one God, now and forever.</t>
        </r>
      </text>
    </comment>
    <comment ref="P17" authorId="0" shapeId="0" xr:uid="{00000000-0006-0000-0000-00004E000000}">
      <text>
        <r>
          <rPr>
            <sz val="10"/>
            <color rgb="FF000000"/>
            <rFont val="Arial"/>
          </rPr>
          <t xml:space="preserve">The Son of Man did not come to be served, but to serve, and to give his life as a ransom for many. </t>
        </r>
      </text>
    </comment>
    <comment ref="R17" authorId="0" shapeId="0" xr:uid="{00000000-0006-0000-0000-00004F000000}">
      <text>
        <r>
          <rPr>
            <sz val="10"/>
            <color rgb="FF000000"/>
            <rFont val="Arial"/>
          </rPr>
          <t>Juan's notes: We have selective memory of promises we've made and covenants we've entered into (confirmation, marriage, contracts, etc.). God has selective memory when he chooses to forgive and forget our sins.
"I can forgive but I can't forget."</t>
        </r>
      </text>
    </comment>
    <comment ref="S17" authorId="0" shapeId="0" xr:uid="{00000000-0006-0000-0000-000050000000}">
      <text>
        <r>
          <rPr>
            <sz val="10"/>
            <color rgb="FF000000"/>
            <rFont val="Arial"/>
          </rPr>
          <t>God makes a new covenant with his people. He forgives our iniquities and remembers our sins no more.</t>
        </r>
      </text>
    </comment>
    <comment ref="T17" authorId="0" shapeId="0" xr:uid="{00000000-0006-0000-0000-000051000000}">
      <text>
        <r>
          <rPr>
            <sz val="10"/>
            <color rgb="FF000000"/>
            <rFont val="Arial"/>
          </rPr>
          <t>Jesus established the new covenant by his perfect life and innocent death.</t>
        </r>
      </text>
    </comment>
    <comment ref="U17" authorId="0" shapeId="0" xr:uid="{00000000-0006-0000-0000-000052000000}">
      <text>
        <r>
          <rPr>
            <sz val="10"/>
            <color rgb="FF000000"/>
            <rFont val="Arial"/>
          </rPr>
          <t>God is glorified through the willing sacrifice and death of Jesus.</t>
        </r>
      </text>
    </comment>
    <comment ref="N18" authorId="0" shapeId="0" xr:uid="{00000000-0006-0000-0000-000053000000}">
      <text>
        <r>
          <rPr>
            <sz val="10"/>
            <color rgb="FF000000"/>
            <rFont val="Arial"/>
          </rPr>
          <t>Jesus is our perfect High Priest
"He was tempted in every way, just as we are, yet was without sin." Jesus knows the struggles we face. We are surrounded by temptations in the world, we are led astray by the desires of our own flesh, and Satan presses us hard to lead us away from our Savior.
The High Priest who stands before God as our Mediator is none other than Jesus himself. In the face of temptation he never caved. When tempted to sin he never disobeyed. He is able to offer himself holy and unblemished, both victim and priest, for our forgiveness and salvation.</t>
        </r>
      </text>
    </comment>
    <comment ref="O18" authorId="0" shapeId="0" xr:uid="{00000000-0006-0000-0000-000054000000}">
      <text>
        <r>
          <rPr>
            <sz val="10"/>
            <color rgb="FF000000"/>
            <rFont val="Arial"/>
          </rPr>
          <t>God of might and compassion, open your ears to the prayers of your people, who wait for you. Do not leave us in the depth of our sins, but listen to your Church pleading for the fullness of your redemption; through Jesus Christ our Lord.</t>
        </r>
      </text>
    </comment>
    <comment ref="R18" authorId="0" shapeId="0" xr:uid="{00000000-0006-0000-0000-000055000000}">
      <text>
        <r>
          <rPr>
            <sz val="10"/>
            <color rgb="FF000000"/>
            <rFont val="Arial"/>
          </rPr>
          <t>Why be perfect? Because we are not! God demands. Any imperfection is an affront to his holy perfection.
Perfect=complete</t>
        </r>
      </text>
    </comment>
    <comment ref="S18" authorId="0" shapeId="0" xr:uid="{00000000-0006-0000-0000-000056000000}">
      <text>
        <r>
          <rPr>
            <sz val="10"/>
            <color rgb="FF000000"/>
            <rFont val="Arial"/>
          </rPr>
          <t>Jesus' crucifixion, death and burial
Compiled from the four Gospels</t>
        </r>
      </text>
    </comment>
    <comment ref="N19" authorId="0" shapeId="0" xr:uid="{00000000-0006-0000-0000-000057000000}">
      <text>
        <r>
          <rPr>
            <sz val="10"/>
            <color rgb="FF000000"/>
            <rFont val="Arial"/>
          </rPr>
          <t>The way of the cross: The road to sacrifice
There are some roads you might never want to travel. You know where they lead. You know there is trouble ahead. You'll avoid the road at all cost.
Jesus knew where his Palm Sunday road led. It led into Jerusalem. It led to a path called the "Via Dolorosa," or the way of sorrows. It led to a cross, to shame, to infinite torment, to death.
But this was a road Jesus did not hesitate to take. His path on Palm Sunday was the road that finally culminated in victory--his victory over sin, our victory forever.</t>
        </r>
      </text>
    </comment>
    <comment ref="O19" authorId="0" shapeId="0" xr:uid="{00000000-0006-0000-0000-000058000000}">
      <text>
        <r>
          <rPr>
            <sz val="10"/>
            <color rgb="FF000000"/>
            <rFont val="Arial"/>
          </rPr>
          <t>We praise you, O God, for the great acts of love by which you have redeemed us through your Son, Jesus Christ. As he was acclaimed by those who scattered their garments and branches of palms in his path, so may we always hail him as our King and follow him with perfect confidence; who lives and reigns with you and the Holy Spirit, one God, now and forever.</t>
        </r>
      </text>
    </comment>
    <comment ref="P19" authorId="0" shapeId="0" xr:uid="{00000000-0006-0000-0000-000059000000}">
      <text>
        <r>
          <rPr>
            <sz val="10"/>
            <color rgb="FF000000"/>
            <rFont val="Arial"/>
          </rPr>
          <t xml:space="preserve">The hour has come for the Son of Man to be glorified. </t>
        </r>
      </text>
    </comment>
    <comment ref="S19" authorId="0" shapeId="0" xr:uid="{00000000-0006-0000-0000-00005A000000}">
      <text>
        <r>
          <rPr>
            <sz val="10"/>
            <color rgb="FF000000"/>
            <rFont val="Arial"/>
          </rPr>
          <t>Zechariah prophesied that Israel's king would come riding on a donkey.</t>
        </r>
      </text>
    </comment>
    <comment ref="T19" authorId="0" shapeId="0" xr:uid="{00000000-0006-0000-0000-00005B000000}">
      <text>
        <r>
          <rPr>
            <sz val="10"/>
            <color rgb="FF000000"/>
            <rFont val="Arial"/>
          </rPr>
          <t>In humility Jesus took the road that led to sacrifice.</t>
        </r>
      </text>
    </comment>
    <comment ref="U19" authorId="0" shapeId="0" xr:uid="{00000000-0006-0000-0000-00005C000000}">
      <text>
        <r>
          <rPr>
            <sz val="10"/>
            <color rgb="FF000000"/>
            <rFont val="Arial"/>
          </rPr>
          <t>Jesus rode into Jerusalem on Palm Sunday seated on a donkey.</t>
        </r>
      </text>
    </comment>
    <comment ref="N20" authorId="0" shapeId="0" xr:uid="{00000000-0006-0000-0000-00005D000000}">
      <text>
        <r>
          <rPr>
            <sz val="10"/>
            <color rgb="FF000000"/>
            <rFont val="Arial"/>
          </rPr>
          <t>Every year at the start of spring the Jewish nation celebrated the Passover. The Passover was part of the Old Covenant (the Old Testament), and the sacrifice of the Passover lamb commemorated God’s deliverance of his people from Egypt while looking forward to his ultimate deliverance from sin through the Messiah. 
Now the Messiah had come. Jesus, the Passover Lamb, was ready to make a new sacrifice for the sin of the world and to establish a New Covenant to supersede the old. Tonight he gives us his body and blood, given and poured out for the remission of our sins, his last will and testament for our salvation, a New Covenant of grace to endure to the end of time.</t>
        </r>
      </text>
    </comment>
    <comment ref="O20" authorId="0" shapeId="0" xr:uid="{00000000-0006-0000-0000-00005E000000}">
      <text>
        <r>
          <rPr>
            <sz val="10"/>
            <color rgb="FF000000"/>
            <rFont val="Arial"/>
          </rPr>
          <t>Lord Jesus Christ, in the sacrament of Holy Communion you give us your true body and blood as a remembrance of your suffering and death on the cross. Grant us so firmly to believe your words and promise that we may always partake of this sacrament to our eternal good; for you live and reign with the Father and the Holy Spirit, one God, now and forever.</t>
        </r>
      </text>
    </comment>
    <comment ref="P20" authorId="0" shapeId="0" xr:uid="{00000000-0006-0000-0000-00005F000000}">
      <text>
        <r>
          <rPr>
            <sz val="10"/>
            <color rgb="FF000000"/>
            <rFont val="Arial"/>
          </rPr>
          <t>As often as you eat this bread and drink the cup, you proclaim the Lord's death until he comes.</t>
        </r>
      </text>
    </comment>
    <comment ref="S20" authorId="0" shapeId="0" xr:uid="{00000000-0006-0000-0000-000060000000}">
      <text>
        <r>
          <rPr>
            <sz val="10"/>
            <color rgb="FF000000"/>
            <rFont val="Arial"/>
          </rPr>
          <t>The Old Testament Passover was a reminder of God's deliverance in the past and a picture of the Messiah's deliverance to come.</t>
        </r>
      </text>
    </comment>
    <comment ref="T20" authorId="0" shapeId="0" xr:uid="{00000000-0006-0000-0000-000061000000}">
      <text>
        <r>
          <rPr>
            <sz val="10"/>
            <color rgb="FF000000"/>
            <rFont val="Arial"/>
          </rPr>
          <t>We are one body as we eat the bread and drink the cup in communion with the body and blood of Christ.</t>
        </r>
      </text>
    </comment>
    <comment ref="U20" authorId="0" shapeId="0" xr:uid="{00000000-0006-0000-0000-000062000000}">
      <text>
        <r>
          <rPr>
            <sz val="10"/>
            <color rgb="FF000000"/>
            <rFont val="Arial"/>
          </rPr>
          <t>Jesus instituted Holy Communion for his disciples to eat and drink until he comes again.</t>
        </r>
      </text>
    </comment>
    <comment ref="N21" authorId="0" shapeId="0" xr:uid="{00000000-0006-0000-0000-000063000000}">
      <text>
        <r>
          <rPr>
            <sz val="10"/>
            <color rgb="FF000000"/>
            <rFont val="Arial"/>
          </rPr>
          <t>By his wounds we are healed
Jesus came to be our substitute in life and in death. In life he did everything we have not done: he lived perfectly under God's commands and obeyed them without sinning. In death he offered his innocent and unblemished life as the atoning payment for our sins.
On Good Friday we contemplate the awe-full sacrifice of God's own Son. He died on the cross, scorned by the ones he came to save, so that he could be our Savior. 
[Sidebar: "We all, like sheep have gone astray, each of us has turned to his own way, and the Lord has laid on him the iniquity of us all" (Isaiah 53:6).]</t>
        </r>
      </text>
    </comment>
    <comment ref="O21" authorId="0" shapeId="0" xr:uid="{00000000-0006-0000-0000-000064000000}">
      <text>
        <r>
          <rPr>
            <sz val="10"/>
            <color rgb="FF000000"/>
            <rFont val="Arial"/>
          </rPr>
          <t>God Most Holy, look with mercy on this your family for whom our Lord Jesus Christ was willing to be betrayed, be given over into the hands of the wicked, and suffer death upon the cross. Keep us always faithful to him, our only Savior, who now lives and reigns with you and the Holy Spirit, one God, forever and ever.</t>
        </r>
      </text>
    </comment>
    <comment ref="P21" authorId="0" shapeId="0" xr:uid="{00000000-0006-0000-0000-000065000000}">
      <text>
        <r>
          <rPr>
            <sz val="10"/>
            <color rgb="FF000000"/>
            <rFont val="Arial"/>
          </rPr>
          <t>Surely he took up our infirmities and carried our sorrows, yet we considered him stricken by God, smitten by him, and afflicted.</t>
        </r>
      </text>
    </comment>
    <comment ref="S21" authorId="0" shapeId="0" xr:uid="{00000000-0006-0000-0000-000066000000}">
      <text>
        <r>
          <rPr>
            <sz val="10"/>
            <color rgb="FF000000"/>
            <rFont val="Arial"/>
          </rPr>
          <t>700 years before Christ, Isaiah prophesied that God's Chosen One would take our place under the law and die under the weight of our sins.</t>
        </r>
      </text>
    </comment>
    <comment ref="T21" authorId="0" shapeId="0" xr:uid="{00000000-0006-0000-0000-000067000000}">
      <text>
        <r>
          <rPr>
            <sz val="10"/>
            <color rgb="FF000000"/>
            <rFont val="Arial"/>
          </rPr>
          <t>Jesus is our great High Priest who intercedes for us and sacrifices himself for us.</t>
        </r>
      </text>
    </comment>
    <comment ref="U21" authorId="0" shapeId="0" xr:uid="{00000000-0006-0000-0000-000068000000}">
      <text>
        <r>
          <rPr>
            <sz val="10"/>
            <color rgb="FF000000"/>
            <rFont val="Arial"/>
          </rPr>
          <t>Jesus was crucified for us and for our salvation.</t>
        </r>
      </text>
    </comment>
    <comment ref="N22" authorId="0" shapeId="0" xr:uid="{00000000-0006-0000-0000-000069000000}">
      <text>
        <r>
          <rPr>
            <sz val="10"/>
            <color rgb="FF000000"/>
            <rFont val="Arial"/>
          </rPr>
          <t>By his wounds we are healed
Jesus came to be our substitute in life and in death. In life he did everything we have not done: he lived perfectly under God's commands and obeyed them without sinning. In death he offered his innocent and unblemished life as the atoning payment for our sins.
On Good Friday we contemplate the awe-full sacrifice of God's own Son. He died on the cross, scorned by the ones he came to save, so that he could be our Savior. 
[Sidebar: "We all, like sheep have gone astray, each of us has turned to his own way, and the Lord has laid on him the iniquity of us all" (Isaiah 53:6).]</t>
        </r>
      </text>
    </comment>
    <comment ref="P22" authorId="0" shapeId="0" xr:uid="{00000000-0006-0000-0000-00006A000000}">
      <text>
        <r>
          <rPr>
            <sz val="10"/>
            <color rgb="FF000000"/>
            <rFont val="Arial"/>
          </rPr>
          <t>Surely he took up our infirmities and carried our sorrows, yet we considered him stricken by God, smitten by him, and afflicted.</t>
        </r>
      </text>
    </comment>
    <comment ref="S22" authorId="0" shapeId="0" xr:uid="{00000000-0006-0000-0000-00006B000000}">
      <text>
        <r>
          <rPr>
            <sz val="10"/>
            <color rgb="FF000000"/>
            <rFont val="Arial"/>
          </rPr>
          <t>700 years before Christ, Isaiah prophesied that God's Chosen One would take our place under the law and die under the weight of our sins.</t>
        </r>
      </text>
    </comment>
    <comment ref="N23" authorId="0" shapeId="0" xr:uid="{00000000-0006-0000-0000-00006C000000}">
      <text>
        <r>
          <rPr>
            <sz val="10"/>
            <color rgb="FF000000"/>
            <rFont val="Arial"/>
          </rPr>
          <t>The Reality of the Resurrection
The Christian faith is not based on idle speculation or mystical contemplation. The Christian faith is not based on myths, legends, or fables. The Christian faith is based on historical facts. The history of Jesus of Nazareth is recorded and handed down to us in the Gospels. Jesus was born. Jesus lived, taught, healed. Jesus died. Jesus came back to life.
Today we celebrate the greatest victory of any human being over any enemy. Jesus the victim of Calvary's cross becomes Jesus the victor at Easter's empty tomb. Christ is risen! He is risen indeed!</t>
        </r>
      </text>
    </comment>
    <comment ref="R23" authorId="0" shapeId="0" xr:uid="{00000000-0006-0000-0000-00006D000000}">
      <text>
        <r>
          <rPr>
            <sz val="10"/>
            <color rgb="FF000000"/>
            <rFont val="Arial"/>
          </rPr>
          <t>Nearly everything has a shelf-life. ever find that container that's fallen to the back of the fridge? That cup of yogurt left in the lunch box for days in the hot car? We too have a shelf life, so to speak. In some cases, people may even have an estimated expiration date...</t>
        </r>
      </text>
    </comment>
    <comment ref="S23" authorId="0" shapeId="0" xr:uid="{00000000-0006-0000-0000-00006E000000}">
      <text>
        <r>
          <rPr>
            <sz val="10"/>
            <color rgb="FF000000"/>
            <rFont val="Arial"/>
          </rPr>
          <t>The First Song of Isaiah is a song of praise to God for our deliverance.</t>
        </r>
      </text>
    </comment>
    <comment ref="T23" authorId="0" shapeId="0" xr:uid="{00000000-0006-0000-0000-00006F000000}">
      <text>
        <r>
          <rPr>
            <sz val="10"/>
            <color rgb="FF000000"/>
            <rFont val="Arial"/>
          </rPr>
          <t>Where is the victory of death and grave? God gives us the victory through Jesus Christ our Lord!</t>
        </r>
      </text>
    </comment>
    <comment ref="U23" authorId="0" shapeId="0" xr:uid="{00000000-0006-0000-0000-000070000000}">
      <text>
        <r>
          <rPr>
            <sz val="10"/>
            <color rgb="FF000000"/>
            <rFont val="Arial"/>
          </rPr>
          <t>Mary Magdalene saw Jesus risen from the dead.</t>
        </r>
      </text>
    </comment>
    <comment ref="N24" authorId="0" shapeId="0" xr:uid="{00000000-0006-0000-0000-000071000000}">
      <text>
        <r>
          <rPr>
            <sz val="10"/>
            <color rgb="FF000000"/>
            <rFont val="Arial"/>
          </rPr>
          <t>The Reality of the Resurrection
The Christian faith is not based on idle speculation or mystical contemplation. The Christian faith is not based on myths, legends, or fables. The Christian faith is based on historical facts. The history of Jesus of Nazareth is recorded and handed down to us in the Gospels. Jesus was born. Jesus lived, taught, healed. Jesus died. Jesus came back to life.
Today we celebrate the greatest victory of any human being over any enemy. Jesus the victim of Calvary's cross becomes Jesus the victor at Easter's empty tomb. Christ is risen! He is risen indeed!</t>
        </r>
      </text>
    </comment>
    <comment ref="O24" authorId="0" shapeId="0" xr:uid="{00000000-0006-0000-0000-000072000000}">
      <text>
        <r>
          <rPr>
            <sz val="10"/>
            <color rgb="FF000000"/>
            <rFont val="Arial"/>
          </rPr>
          <t>Almighty God, by the glorious resurrection of your Son Jesus Christ you conquered death and opened the gate to eternal life. Grant that we, who have been raised with him through baptism, may walk in newness of life and ever rejoice in the hope of sharing his glory; through Jesus Christ our Lord, to whom, with you and the Holy Spirit be dominion and praise now and forever.</t>
        </r>
      </text>
    </comment>
    <comment ref="P24" authorId="0" shapeId="0" xr:uid="{00000000-0006-0000-0000-000073000000}">
      <text>
        <r>
          <rPr>
            <sz val="10"/>
            <color rgb="FF000000"/>
            <rFont val="Arial"/>
          </rPr>
          <t>This is the day the Lord has made; let us rejoice and be glad in it.</t>
        </r>
      </text>
    </comment>
    <comment ref="S24" authorId="0" shapeId="0" xr:uid="{00000000-0006-0000-0000-000074000000}">
      <text>
        <r>
          <rPr>
            <sz val="10"/>
            <color rgb="FF000000"/>
            <rFont val="Arial"/>
          </rPr>
          <t>On the mountain of the Lord he removes the shroud covering all peoples, he destroys death forever.</t>
        </r>
      </text>
    </comment>
    <comment ref="T24" authorId="0" shapeId="0" xr:uid="{00000000-0006-0000-0000-000075000000}">
      <text>
        <r>
          <rPr>
            <sz val="10"/>
            <color rgb="FF000000"/>
            <rFont val="Arial"/>
          </rPr>
          <t>There is no doubt: Christ has been raised from the dead.</t>
        </r>
      </text>
    </comment>
    <comment ref="U24" authorId="0" shapeId="0" xr:uid="{00000000-0006-0000-0000-000076000000}">
      <text>
        <r>
          <rPr>
            <sz val="10"/>
            <color rgb="FF000000"/>
            <rFont val="Arial"/>
          </rPr>
          <t>The angels told the women that Jesus had arisen from the dead.</t>
        </r>
      </text>
    </comment>
    <comment ref="N25" authorId="0" shapeId="0" xr:uid="{00000000-0006-0000-0000-000077000000}">
      <text>
        <r>
          <rPr>
            <sz val="10"/>
            <color rgb="FF000000"/>
            <rFont val="Arial"/>
          </rPr>
          <t>The Reality of the Resurrection
Jesus wants to leave us with no doubt that he is alive. He appeared to Thomas and allowed him to touch his wounded hands and side. With his resurrection Jesus confirms that he is the Son of God, the Savior of the world. His message to us today is the same as it was after the first Easter: Repent and believe the good news!</t>
        </r>
      </text>
    </comment>
    <comment ref="O25" authorId="0" shapeId="0" xr:uid="{00000000-0006-0000-0000-000078000000}">
      <text>
        <r>
          <rPr>
            <sz val="10"/>
            <color rgb="FF000000"/>
            <rFont val="Arial"/>
          </rPr>
          <t>O risen Lord, you came to your disciples and took away their fears with your word of peace. Come to us also by Word and sacrament, and banish our fears with the comforting assurance of your abiding presence; for you live and reign with the Father and the Holy Spirit, one God, now and forever.</t>
        </r>
      </text>
    </comment>
    <comment ref="P25" authorId="0" shapeId="0" xr:uid="{00000000-0006-0000-0000-000079000000}">
      <text>
        <r>
          <rPr>
            <sz val="10"/>
            <color rgb="FF000000"/>
            <rFont val="Arial"/>
          </rPr>
          <t>Alleluia. Alleluia. Christ is risen! He is risen indeed! Alleluia. Blessed are those who have not seen and yet have believed. Alleluia.</t>
        </r>
      </text>
    </comment>
    <comment ref="S25" authorId="0" shapeId="0" xr:uid="{00000000-0006-0000-0000-00007A000000}">
      <text>
        <r>
          <rPr>
            <sz val="10"/>
            <color rgb="FF000000"/>
            <rFont val="Arial"/>
          </rPr>
          <t>God proved Jesus is the Christ by raising him from the dead.</t>
        </r>
      </text>
    </comment>
    <comment ref="T25" authorId="0" shapeId="0" xr:uid="{00000000-0006-0000-0000-00007B000000}">
      <text>
        <r>
          <rPr>
            <sz val="10"/>
            <color rgb="FF000000"/>
            <rFont val="Arial"/>
          </rPr>
          <t>Jesus is the Son of God. When we know the Son we know the Father.</t>
        </r>
      </text>
    </comment>
    <comment ref="U25" authorId="0" shapeId="0" xr:uid="{00000000-0006-0000-0000-00007C000000}">
      <text>
        <r>
          <rPr>
            <sz val="10"/>
            <color rgb="FF000000"/>
            <rFont val="Arial"/>
          </rPr>
          <t>Jesus gave tangible proof to doubting Thomas that he was alive.</t>
        </r>
      </text>
    </comment>
    <comment ref="Z25" authorId="0" shapeId="0" xr:uid="{00000000-0006-0000-0000-00007D000000}">
      <text>
        <r>
          <rPr>
            <sz val="10"/>
            <color rgb="FF000000"/>
            <rFont val="Arial"/>
          </rPr>
          <t>8:00 - Joel Ditter, Darin Keezer, Jordan Kern, Peter Nimmer
10:30 - Jeff Lentz, Jordan Orlowski, Tony Orlowski, Michael Prahl</t>
        </r>
      </text>
    </comment>
    <comment ref="N26" authorId="0" shapeId="0" xr:uid="{00000000-0006-0000-0000-00007E000000}">
      <text>
        <r>
          <rPr>
            <sz val="10"/>
            <color rgb="FF000000"/>
            <rFont val="Arial"/>
          </rPr>
          <t xml:space="preserve">The Reality of the Resurrection
Christianity hinges on Jesus' resurrection. If Jesus is still dead, Christians have nothing to hope for. Everything Jesus claims he can do depends on whether he really kept his promise to come back to life on Easter.
Jesus' resurrection affirms that he is the Son of God. It proves his power over death. It certifies him as the Messiah, our Intercessor, and our hope for the forgiveness of sins and eternal life.
</t>
        </r>
      </text>
    </comment>
    <comment ref="O26" authorId="0" shapeId="0" xr:uid="{00000000-0006-0000-0000-00007F000000}">
      <text>
        <r>
          <rPr>
            <sz val="10"/>
            <color rgb="FF000000"/>
            <rFont val="Arial"/>
          </rPr>
          <t>O God, by the humiliation of your Son you lifted up this fallen world from the despair of death. By his resurrection to life, grant your faithful people gladness of heart and the hope of eternal joys; through your Son, Jesus Christ our Lord, who lives and reigns with you and the Holy Spirit, one God, now and forever.</t>
        </r>
      </text>
    </comment>
    <comment ref="P26" authorId="0" shapeId="0" xr:uid="{00000000-0006-0000-0000-000080000000}">
      <text>
        <r>
          <rPr>
            <sz val="10"/>
            <color rgb="FF000000"/>
            <rFont val="Arial"/>
          </rPr>
          <t>Alleluia. Alleluia. Christ is risen! He is risen indeed! Alleluia. Our hearts were burning within us while he talked with us on the road and opened the Scriptures to us. Alleluia.</t>
        </r>
      </text>
    </comment>
    <comment ref="R26" authorId="0" shapeId="0" xr:uid="{00000000-0006-0000-0000-000081000000}">
      <text>
        <r>
          <rPr>
            <sz val="10"/>
            <color rgb="FF000000"/>
            <rFont val="Arial"/>
          </rPr>
          <t>Relationship with a person: Jesus Christ. Touched, felt, handled, seen - this guy is God in the flesh!
Love Jesus and follow Jesus
Can you imagine what it would be like to hug Jesus? To feel his hand upon your shoulder? To look into his eyes?
Why did the disciples have a relationship with Jesus? (Miracle worker, taught with authority, gentleness, love.)
Wanted a guy who could make everything right, solve their problems, mend what was broken, feed their bellies.)
Sometimes a walk with Jesus is tough -- tells us things we don't want to hear (like boss says, "Let's go for a walk!" But always in love.</t>
        </r>
      </text>
    </comment>
    <comment ref="S26" authorId="0" shapeId="0" xr:uid="{00000000-0006-0000-0000-000082000000}">
      <text>
        <r>
          <rPr>
            <sz val="10"/>
            <color rgb="FF000000"/>
            <rFont val="Arial"/>
          </rPr>
          <t>Salvation is only found in the name of Jesus Christ.</t>
        </r>
      </text>
    </comment>
    <comment ref="T26" authorId="0" shapeId="0" xr:uid="{00000000-0006-0000-0000-000083000000}">
      <text>
        <r>
          <rPr>
            <sz val="10"/>
            <color rgb="FF000000"/>
            <rFont val="Arial"/>
          </rPr>
          <t>Jesus, our living Lord, intercedes for us before the throne of God the Father.</t>
        </r>
      </text>
    </comment>
    <comment ref="U26" authorId="0" shapeId="0" xr:uid="{00000000-0006-0000-0000-000084000000}">
      <text>
        <r>
          <rPr>
            <sz val="10"/>
            <color rgb="FF000000"/>
            <rFont val="Arial"/>
          </rPr>
          <t>Jesus taught his disciples what his resurrection means: Fulfillment of everything God promised.</t>
        </r>
      </text>
    </comment>
    <comment ref="N27" authorId="0" shapeId="0" xr:uid="{00000000-0006-0000-0000-000085000000}">
      <text>
        <r>
          <rPr>
            <sz val="10"/>
            <color rgb="FF000000"/>
            <rFont val="Arial"/>
          </rPr>
          <t>The Reality of the Resurrection: The world rages in vain against Christ
Human nature is naturally and inherently opposed to the gospel of forgiveness in Jesus. The hostility in people's hearts runs deep.
In the face of the world's hostility, the Church proclaims one simple truth: Christ is risen! The reality of the resurrection underscores the fact that opposition to Jesus is futile. It is useless to oppose someone who has all power over life and death. Why not rather trust in Jesus, receive his forgiveness, and stop waging war against God? But the world rages on!</t>
        </r>
      </text>
    </comment>
    <comment ref="O27" authorId="0" shapeId="0" xr:uid="{00000000-0006-0000-0000-000086000000}">
      <text>
        <r>
          <rPr>
            <sz val="10"/>
            <color rgb="FF000000"/>
            <rFont val="Arial"/>
          </rPr>
          <t>O Lord Jesus Christ, you are the Good Shepherd who laid down your life for the sheep. Lead us now to the still waters of your life-giving Word that we may abide in your Father's house forevermore; for you live and reign with him and the Holy Spirit, one God, now and forever.</t>
        </r>
      </text>
    </comment>
    <comment ref="P27" authorId="0" shapeId="0" xr:uid="{00000000-0006-0000-0000-000087000000}">
      <text>
        <r>
          <rPr>
            <sz val="10"/>
            <color rgb="FF000000"/>
            <rFont val="Arial"/>
          </rPr>
          <t>Alleluia. Alleluia. Christ is risen! He is risen indeed! Alleluia. I am the good shepherd; I know my sheep and my sheep know me. Alleluia.</t>
        </r>
      </text>
    </comment>
    <comment ref="S27" authorId="0" shapeId="0" xr:uid="{00000000-0006-0000-0000-000088000000}">
      <text>
        <r>
          <rPr>
            <sz val="10"/>
            <color rgb="FF000000"/>
            <rFont val="Arial"/>
          </rPr>
          <t>The nations rage and oppose the risen Christ.</t>
        </r>
      </text>
    </comment>
    <comment ref="T27" authorId="0" shapeId="0" xr:uid="{00000000-0006-0000-0000-000089000000}">
      <text>
        <r>
          <rPr>
            <sz val="10"/>
            <color rgb="FF000000"/>
            <rFont val="Arial"/>
          </rPr>
          <t>We are children of God. The world does not recognize us as such because the world does not recognize God.</t>
        </r>
      </text>
    </comment>
    <comment ref="U27" authorId="0" shapeId="0" xr:uid="{00000000-0006-0000-0000-00008A000000}">
      <text>
        <r>
          <rPr>
            <sz val="10"/>
            <color rgb="FF000000"/>
            <rFont val="Arial"/>
          </rPr>
          <t>Jesus is the Good Shepherd who cares for and lays down his life for the sheep.</t>
        </r>
      </text>
    </comment>
    <comment ref="Z27" authorId="0" shapeId="0" xr:uid="{00000000-0006-0000-0000-00008B000000}">
      <text>
        <r>
          <rPr>
            <sz val="10"/>
            <color rgb="FF000000"/>
            <rFont val="Arial"/>
          </rPr>
          <t>8:00 - Joel Ditter, Darin Keezer, Jordan Kern, Peter Nimmer
10:30 - Jeff Lentz, Jordan Orlowski, Tony Orlowski, Michael Prahl</t>
        </r>
      </text>
    </comment>
    <comment ref="N28" authorId="0" shapeId="0" xr:uid="{00000000-0006-0000-0000-00008C000000}">
      <text>
        <r>
          <rPr>
            <sz val="10"/>
            <color rgb="FF000000"/>
            <rFont val="Arial"/>
          </rPr>
          <t>The Reality of the Resurrection: He is the Vine, we are the branches
We are grafted into the living Lord! Jesus is the vine. We are the branches. We draw our sustenance and strength from Jesus. The power of his Spirit fills us and empowers us to love him and live for him.
We cannot continue to be strong without Jesus. Only when we are attached to the Vine can we be strong in the face of this world's challenges.</t>
        </r>
      </text>
    </comment>
    <comment ref="O28" authorId="0" shapeId="0" xr:uid="{00000000-0006-0000-0000-00008D000000}">
      <text>
        <r>
          <rPr>
            <sz val="10"/>
            <color rgb="FF000000"/>
            <rFont val="Arial"/>
          </rPr>
          <t>O God, you form the minds of your faithful people into a single will. Make us love what you command and desire what you promise, that among the many changes of this world, our hearts may ever yearn for the lasting joys of heaven; through your Son, Jesus Christ  our Lord, who lives and reigns with you and the Holy Spirit, one God, now and forever.</t>
        </r>
      </text>
    </comment>
    <comment ref="P28" authorId="0" shapeId="0" xr:uid="{00000000-0006-0000-0000-00008E000000}">
      <text>
        <r>
          <rPr>
            <sz val="10"/>
            <color rgb="FF000000"/>
            <rFont val="Arial"/>
          </rPr>
          <t xml:space="preserve">Alleluia. Alleluia. Christ is risen! He is risen indeed! Alleluia. I am the way, the truth, and the life, says the Lord. Alleluia.
</t>
        </r>
      </text>
    </comment>
    <comment ref="S28" authorId="0" shapeId="0" xr:uid="{00000000-0006-0000-0000-00008F000000}">
      <text>
        <r>
          <rPr>
            <sz val="10"/>
            <color rgb="FF000000"/>
            <rFont val="Arial"/>
          </rPr>
          <t>The disciple Philip instructs and baptizes an Ethiopian.</t>
        </r>
      </text>
    </comment>
    <comment ref="T28" authorId="0" shapeId="0" xr:uid="{00000000-0006-0000-0000-000090000000}">
      <text>
        <r>
          <rPr>
            <sz val="10"/>
            <color rgb="FF000000"/>
            <rFont val="Arial"/>
          </rPr>
          <t>God has filled us with his Spirit, so that we can be kind and generous.</t>
        </r>
      </text>
    </comment>
    <comment ref="U28" authorId="0" shapeId="0" xr:uid="{00000000-0006-0000-0000-000091000000}">
      <text>
        <r>
          <rPr>
            <sz val="10"/>
            <color rgb="FF000000"/>
            <rFont val="Arial"/>
          </rPr>
          <t>Jesus is the vine. We are the branches. We draw our strength from him.</t>
        </r>
      </text>
    </comment>
    <comment ref="Z28" authorId="0" shapeId="0" xr:uid="{00000000-0006-0000-0000-000092000000}">
      <text>
        <r>
          <rPr>
            <sz val="10"/>
            <color rgb="FF000000"/>
            <rFont val="Arial"/>
          </rPr>
          <t>8:00 - Joel Ditter, Darin Keezer, Jordan Kern, Peter Nimmer
10:30 - Jeff Lentz, Jordan Orlowski, Tony Orlowski, Michael Prahl</t>
        </r>
      </text>
    </comment>
    <comment ref="N29" authorId="0" shapeId="0" xr:uid="{00000000-0006-0000-0000-000093000000}">
      <text>
        <r>
          <rPr>
            <sz val="10"/>
            <color rgb="FF000000"/>
            <rFont val="Arial"/>
          </rPr>
          <t>The Reality of the Resurrection: Jesus loves me
God loves us in Christ, and we are filled with love for him and for one another.
Our living Lord is not lying in a grave somewhere. He is ascended to heaven and seated at the right hand of the Father. He loves us and cares for us. He gives us the privilege of reflecting his love into the lives of others. The Lord Jesus is with us always with his light and with his love.</t>
        </r>
      </text>
    </comment>
    <comment ref="O29" authorId="0" shapeId="0" xr:uid="{00000000-0006-0000-0000-000094000000}">
      <text>
        <r>
          <rPr>
            <sz val="10"/>
            <color rgb="FF000000"/>
            <rFont val="Arial"/>
          </rPr>
          <t>Father of lights, every good and perfect gift comes from you. Inspire us to think those things that are true and long for those things that are good, that we may always make our petitions according to your gracious will; through your Son, Jesus Christ our Lord, who lives and reigns with you and the Holy Spirit, one God, now and forever.</t>
        </r>
      </text>
    </comment>
    <comment ref="P29" authorId="0" shapeId="0" xr:uid="{00000000-0006-0000-0000-000095000000}">
      <text>
        <r>
          <rPr>
            <sz val="10"/>
            <color rgb="FF000000"/>
            <rFont val="Arial"/>
          </rPr>
          <t xml:space="preserve">Alleluia. Alleluia. Christ is risen! He is risen indeed! Alleluia. If anyone loves me, he will obey my teaching. My Father will love him, and we will come to him and make our home with him. Alleluia. </t>
        </r>
      </text>
    </comment>
    <comment ref="R29" authorId="0" shapeId="0" xr:uid="{00000000-0006-0000-0000-000096000000}">
      <text>
        <r>
          <rPr>
            <sz val="10"/>
            <color rgb="FF000000"/>
            <rFont val="Arial"/>
          </rPr>
          <t>Juan's notes: 
Intro? On the shores of Sea of Galilee right after breakfast. Jesus asked Peter, "Do you love me?" 3x. Painful question.
"I love you!" Says husband as he leaves wife to meet lover. Says wife as she gets ready to fuel gambling addiction. Says daughter as she leaves to do drugs with friends - (break parents' heart). Says son as he runs off leaving a pigsty in his room.
Sometimes love is unspoken, not mentioned. Not gushy, not syrupy.
Difference between theory and practice. Love and action. "Love spouse but refuse to be faithful." "Love parents but refuse to help around house." When we ask about our love, we come up short.
Does God love us . . .really? Look at what he has done.
We love *really* because God's Spirit lives in us, and we reflect real love to real people.
If we love someone we really want them to know that we love them. I'm all in. Not half-hearted, not non-committal. Why would we want to leave loved ones wondering?</t>
        </r>
      </text>
    </comment>
    <comment ref="S29" authorId="0" shapeId="0" xr:uid="{00000000-0006-0000-0000-000097000000}">
      <text>
        <r>
          <rPr>
            <sz val="10"/>
            <color rgb="FF000000"/>
            <rFont val="Arial"/>
          </rPr>
          <t>The believers were first called "Christians" at Antioch.</t>
        </r>
      </text>
    </comment>
    <comment ref="T29" authorId="0" shapeId="0" xr:uid="{00000000-0006-0000-0000-000098000000}">
      <text>
        <r>
          <rPr>
            <sz val="10"/>
            <color rgb="FF000000"/>
            <rFont val="Arial"/>
          </rPr>
          <t xml:space="preserve">This is love: not that we loved God, but that he loved us.
</t>
        </r>
      </text>
    </comment>
    <comment ref="U29" authorId="0" shapeId="0" xr:uid="{00000000-0006-0000-0000-000099000000}">
      <text>
        <r>
          <rPr>
            <sz val="10"/>
            <color rgb="FF000000"/>
            <rFont val="Arial"/>
          </rPr>
          <t>Love one another as Christ has loved you.</t>
        </r>
      </text>
    </comment>
    <comment ref="Z29" authorId="0" shapeId="0" xr:uid="{00000000-0006-0000-0000-00009A000000}">
      <text>
        <r>
          <rPr>
            <sz val="10"/>
            <color rgb="FF000000"/>
            <rFont val="Arial"/>
          </rPr>
          <t>8:00 - Joe Beatrice, Drew Marten, Lance Marten, Joe Worischeck
10:30 - Anthony Hallas, Nathan Henderson, Ryan Konig, Mike Wilson</t>
        </r>
      </text>
    </comment>
    <comment ref="N30" authorId="0" shapeId="0" xr:uid="{00000000-0006-0000-0000-00009B000000}">
      <text>
        <r>
          <rPr>
            <sz val="10"/>
            <color rgb="FF000000"/>
            <rFont val="Arial"/>
          </rPr>
          <t>The Reality of the Resurrection: We have the Holy Spirit
"If you know how to give good gifts to your children, how much more will your Father in heaven give the Holy Spirit to those who ask him?" Jesus taught his disciples this simple, logical truth. Our Father in heaven gives us the very best. He gives us his Spirit.
The Holy Spirit dwells within us. He makes our bodies his temple. He works in us and through us to bring glory and praise to our Savior God. He empowers us to love our neighbor. God is in us, and we are in him.</t>
        </r>
      </text>
    </comment>
    <comment ref="O30" authorId="0" shapeId="0" xr:uid="{00000000-0006-0000-0000-00009C000000}">
      <text>
        <r>
          <rPr>
            <sz val="10"/>
            <color rgb="FF000000"/>
            <rFont val="Arial"/>
          </rPr>
          <t>Lord Jesus, King of glory, on this day you ascended far above the heavens and at God’s right hand you rule the nations. Leave us not alone, we pray, but grant us the Spirit of truth that at your command and by your power we may be your witnesses in all the world; for you live and reign with the Father and the Holy Spirit, one God, now and forever.</t>
        </r>
      </text>
    </comment>
    <comment ref="P30" authorId="0" shapeId="0" xr:uid="{00000000-0006-0000-0000-00009D000000}">
      <text>
        <r>
          <rPr>
            <sz val="10"/>
            <color rgb="FF000000"/>
            <rFont val="Arial"/>
          </rPr>
          <t xml:space="preserve">Alleluia. Alleluia. Christ is risen! He is risen indeed! Alleluia. Surely I will be with you always, to the very end of the age. Alleluia. </t>
        </r>
      </text>
    </comment>
    <comment ref="S30" authorId="0" shapeId="0" xr:uid="{00000000-0006-0000-0000-00009E000000}">
      <text>
        <r>
          <rPr>
            <sz val="10"/>
            <color rgb="FF000000"/>
            <rFont val="Arial"/>
          </rPr>
          <t>To replace Judas, the disciples sought candidates who were eyewitnesses of Jesus' ministry. Then they let God reveal his choice.</t>
        </r>
      </text>
    </comment>
    <comment ref="T30" authorId="0" shapeId="0" xr:uid="{00000000-0006-0000-0000-00009F000000}">
      <text>
        <r>
          <rPr>
            <sz val="10"/>
            <color rgb="FF000000"/>
            <rFont val="Arial"/>
          </rPr>
          <t>The Holy Spirit testifies to us and through us that Jesus is the Savior of the world.</t>
        </r>
      </text>
    </comment>
    <comment ref="U30" authorId="0" shapeId="0" xr:uid="{00000000-0006-0000-0000-0000A0000000}">
      <text>
        <r>
          <rPr>
            <sz val="10"/>
            <color rgb="FF000000"/>
            <rFont val="Arial"/>
          </rPr>
          <t>Through his Spirit God strengthens and protects us.</t>
        </r>
      </text>
    </comment>
    <comment ref="Z30" authorId="0" shapeId="0" xr:uid="{00000000-0006-0000-0000-0000A1000000}">
      <text>
        <r>
          <rPr>
            <sz val="10"/>
            <color rgb="FF000000"/>
            <rFont val="Arial"/>
          </rPr>
          <t>8:00 - Joe Beatrice, Drew Marten, Lance Marten, Joe Worischeck
10:30 - Anthony Hallas, Nathan Henderson, Ryan Konig, Mike Wilson</t>
        </r>
      </text>
    </comment>
    <comment ref="N31" authorId="0" shapeId="0" xr:uid="{00000000-0006-0000-0000-0000A2000000}">
      <text>
        <r>
          <rPr>
            <sz val="10"/>
            <color rgb="FF000000"/>
            <rFont val="Arial"/>
          </rPr>
          <t>Power from on High: The power to proclaim
The disciples were timid and afraid, hiding behind locked doors. Then a series of powerful events transformed them. They witnessed Jesus risen from the dead. They saw him ascend into heaven. On Pentecost they were filled with the Holy Spirit poured out from above, and from that point forward they testified boldly to what they had seen and heard.</t>
        </r>
      </text>
    </comment>
    <comment ref="O31" authorId="0" shapeId="0" xr:uid="{00000000-0006-0000-0000-0000A3000000}">
      <text>
        <r>
          <rPr>
            <sz val="10"/>
            <color rgb="FF000000"/>
            <rFont val="Arial"/>
          </rPr>
          <t>Holy Spirit, God and Lord, come to us this joyful day with your sevenfold gift of grace. Rekindle in our hearts the holy fire of your love that in a true and living faith we may tell abroad the glory of our Savior, Jesus Christ, who lives and reigns with you and the Father, one God, now and forever.</t>
        </r>
      </text>
    </comment>
    <comment ref="P31" authorId="0" shapeId="0" xr:uid="{00000000-0006-0000-0000-0000A4000000}">
      <text>
        <r>
          <rPr>
            <sz val="10"/>
            <color rgb="FF000000"/>
            <rFont val="Arial"/>
          </rPr>
          <t xml:space="preserve">Alleluia. Come, Holy Spirit, fill the hearts of your faithful people, and kindle in them the fire of your love. Alleluia. </t>
        </r>
      </text>
    </comment>
    <comment ref="S31" authorId="0" shapeId="0" xr:uid="{00000000-0006-0000-0000-0000A5000000}">
      <text>
        <r>
          <rPr>
            <sz val="10"/>
            <color rgb="FF000000"/>
            <rFont val="Arial"/>
          </rPr>
          <t>God breathed life back into the dead bones of the house of Israel.</t>
        </r>
      </text>
    </comment>
    <comment ref="T31" authorId="0" shapeId="0" xr:uid="{00000000-0006-0000-0000-0000A6000000}">
      <text>
        <r>
          <rPr>
            <sz val="10"/>
            <color rgb="FF000000"/>
            <rFont val="Arial"/>
          </rPr>
          <t>The Holy Spirit descended in power upon the gathered disciples.</t>
        </r>
      </text>
    </comment>
    <comment ref="U31" authorId="0" shapeId="0" xr:uid="{00000000-0006-0000-0000-0000A7000000}">
      <text>
        <r>
          <rPr>
            <sz val="10"/>
            <color rgb="FF000000"/>
            <rFont val="Arial"/>
          </rPr>
          <t>Jesus promised to send the Comforter, the Holy Spirit.</t>
        </r>
      </text>
    </comment>
    <comment ref="Z31" authorId="0" shapeId="0" xr:uid="{00000000-0006-0000-0000-0000A8000000}">
      <text>
        <r>
          <rPr>
            <sz val="10"/>
            <color rgb="FF000000"/>
            <rFont val="Arial"/>
          </rPr>
          <t>8:00 - Joe Beatrice, Drew Marten, Lance Marten, Joe Worischeck
10:30 - Anthony Hallas, Nathan Henderson, Ryan Konig, Mike Wilson</t>
        </r>
      </text>
    </comment>
    <comment ref="N32" authorId="0" shapeId="0" xr:uid="{00000000-0006-0000-0000-0000A9000000}">
      <text>
        <r>
          <rPr>
            <sz val="10"/>
            <color rgb="FF000000"/>
            <rFont val="Arial"/>
          </rPr>
          <t>Power from on High: The Spirit makes us children of God
The Triune God has called us through his Spirit to belong to him. The Holy Spirit has caused us to be born again into God's holy family and set us apart from the world. God placed his name on us when we were baptized. In the family of God we have the forgiveness of our sins and the blessings of eternal comfort and peace.</t>
        </r>
      </text>
    </comment>
    <comment ref="O32" authorId="0" shapeId="0" xr:uid="{00000000-0006-0000-0000-0000AA000000}">
      <text>
        <r>
          <rPr>
            <sz val="10"/>
            <color rgb="FF000000"/>
            <rFont val="Arial"/>
          </rPr>
          <t xml:space="preserve">Almighty God and Father, dwelling in majesty and mystery, filling and renewing all creation by your eternal Spirit, and manifesting your saving grace through our Lord Jesus Christ: in mercy cleanse our hearts and lips that, free from doubt and fear, we may ever worship you, one true immortal God, with your Son and the Holy Spirit, living and reigning, now and forever.
</t>
        </r>
      </text>
    </comment>
    <comment ref="P32" authorId="0" shapeId="0" xr:uid="{00000000-0006-0000-0000-0000AB000000}">
      <text>
        <r>
          <rPr>
            <sz val="10"/>
            <color rgb="FF000000"/>
            <rFont val="Arial"/>
          </rPr>
          <t xml:space="preserve">Alleluia. Holy, holy, holy is the Lord Almighty; the whole earth is full of his glory. Alleluia. </t>
        </r>
      </text>
    </comment>
    <comment ref="S32" authorId="0" shapeId="0" xr:uid="{00000000-0006-0000-0000-0000AC000000}">
      <text>
        <r>
          <rPr>
            <sz val="10"/>
            <color rgb="FF000000"/>
            <rFont val="Arial"/>
          </rPr>
          <t>When Isaiah was called to proclaim, he responded, "Here am I! Send me!"</t>
        </r>
      </text>
    </comment>
    <comment ref="T32" authorId="0" shapeId="0" xr:uid="{00000000-0006-0000-0000-0000AD000000}">
      <text>
        <r>
          <rPr>
            <sz val="10"/>
            <color rgb="FF000000"/>
            <rFont val="Arial"/>
          </rPr>
          <t>We are united with God the Father, Son and Holy Spirit through faith in Jesus.</t>
        </r>
      </text>
    </comment>
    <comment ref="U32" authorId="0" shapeId="0" xr:uid="{00000000-0006-0000-0000-0000AE000000}">
      <text>
        <r>
          <rPr>
            <sz val="10"/>
            <color rgb="FF000000"/>
            <rFont val="Arial"/>
          </rPr>
          <t>The Triune God planned and carried out our salvation.</t>
        </r>
      </text>
    </comment>
    <comment ref="Z32" authorId="0" shapeId="0" xr:uid="{00000000-0006-0000-0000-0000AF000000}">
      <text>
        <r>
          <rPr>
            <sz val="10"/>
            <color rgb="FF000000"/>
            <rFont val="Arial"/>
          </rPr>
          <t>8:00 - Joe Beatrice, Drew Marten, Lance Marten, Joe Worischeck
10:30 - Anthony Hallas, Nathan Henderson, Ryan Konig, Mike Wilson</t>
        </r>
      </text>
    </comment>
    <comment ref="N33" authorId="0" shapeId="0" xr:uid="{00000000-0006-0000-0000-0000B0000000}">
      <text>
        <r>
          <rPr>
            <sz val="10"/>
            <color rgb="FF000000"/>
            <rFont val="Arial"/>
          </rPr>
          <t>The Fruit of the Spirit: Love
God's Spirit works powerfully in us to produce good fruit that glorifies God. God is love. His Spirit within us is love. Our lives reflect God's love for us, our love for him, and the love that God produces in us toward our neighbor.</t>
        </r>
      </text>
    </comment>
    <comment ref="O33" authorId="0" shapeId="0" xr:uid="{00000000-0006-0000-0000-0000B1000000}">
      <text>
        <r>
          <rPr>
            <sz val="10"/>
            <color rgb="FF000000"/>
            <rFont val="Arial"/>
          </rPr>
          <t>O God, you rule over all things in wisdom and kindness. Take away everything that may be harmful and give us whatever is good; through your Son, Jesus Christ our Lord, who lives and reigns with you and the Holy Spirit, one God, now and forever.</t>
        </r>
      </text>
    </comment>
    <comment ref="P33" authorId="0" shapeId="0" xr:uid="{00000000-0006-0000-0000-0000B2000000}">
      <text>
        <r>
          <rPr>
            <sz val="10"/>
            <color rgb="FF000000"/>
            <rFont val="Arial"/>
          </rPr>
          <t xml:space="preserve">Alleluia. Your word is a lamp to my feet and light for my path. Alleluia. </t>
        </r>
      </text>
    </comment>
    <comment ref="Q33" authorId="0" shapeId="0" xr:uid="{00000000-0006-0000-0000-0000B3000000}">
      <text>
        <r>
          <rPr>
            <sz val="10"/>
            <color rgb="FF000000"/>
            <rFont val="Arial"/>
          </rPr>
          <t xml:space="preserve">1 Corinthians 13:8b ends with "Love never fails"
</t>
        </r>
      </text>
    </comment>
    <comment ref="S33" authorId="0" shapeId="0" xr:uid="{00000000-0006-0000-0000-0000B4000000}">
      <text>
        <r>
          <rPr>
            <sz val="10"/>
            <color rgb="FF000000"/>
            <rFont val="Arial"/>
          </rPr>
          <t>We show our love for God by worshiping him and hearing his Word.</t>
        </r>
      </text>
    </comment>
    <comment ref="T33" authorId="0" shapeId="0" xr:uid="{00000000-0006-0000-0000-0000B5000000}">
      <text>
        <r>
          <rPr>
            <sz val="10"/>
            <color rgb="FF000000"/>
            <rFont val="Arial"/>
          </rPr>
          <t>Jesus' life and Jesus' love are revealed in our lives, as we love and serve.</t>
        </r>
      </text>
    </comment>
    <comment ref="U33" authorId="0" shapeId="0" xr:uid="{00000000-0006-0000-0000-0000B6000000}">
      <text>
        <r>
          <rPr>
            <sz val="10"/>
            <color rgb="FF000000"/>
            <rFont val="Arial"/>
          </rPr>
          <t>Jesus is Lord of the Sabbath.</t>
        </r>
      </text>
    </comment>
    <comment ref="N34" authorId="0" shapeId="0" xr:uid="{00000000-0006-0000-0000-0000B7000000}">
      <text>
        <r>
          <rPr>
            <sz val="10"/>
            <color rgb="FF000000"/>
            <rFont val="Arial"/>
          </rPr>
          <t>The Fruit of the Spirit: Joy
God's Spirit works powerfully in us to produce good fruit that glorifies God. There is a huge difference between "happiness" and "joy." Happiness is circumstantial: It depends on what "happens." Joy is a profound delight and contentment, a gift of God's Spirit, that prevails in our Christian hearts regardless of what "happens." It is a cheerful spirit that reflects the wonderful truth that we are God's children and heirs of eternal life.</t>
        </r>
      </text>
    </comment>
    <comment ref="O34" authorId="0" shapeId="0" xr:uid="{00000000-0006-0000-0000-0000B8000000}">
      <text>
        <r>
          <rPr>
            <sz val="10"/>
            <color rgb="FF000000"/>
            <rFont val="Arial"/>
          </rPr>
          <t>O God, the strength of all who trust in you, mercifully hear our prayers. Be gracious to us in our weakness and give us strength to keep your commandments in all we say and do; through Jesus Christ, your Son, our Lord, who lives and reigns with you and the Holy Spirit, one God, now and forever.</t>
        </r>
      </text>
    </comment>
    <comment ref="P34" authorId="0" shapeId="0" xr:uid="{00000000-0006-0000-0000-0000B9000000}">
      <text>
        <r>
          <rPr>
            <sz val="10"/>
            <color rgb="FF000000"/>
            <rFont val="Arial"/>
          </rPr>
          <t xml:space="preserve">Alleluia. God was in Christ reconciling the world to himself, and entrusting to us the message of reconciliation. Alleluia. </t>
        </r>
      </text>
    </comment>
    <comment ref="S34" authorId="0" shapeId="0" xr:uid="{00000000-0006-0000-0000-0000BA000000}">
      <text>
        <r>
          <rPr>
            <sz val="10"/>
            <color rgb="FF000000"/>
            <rFont val="Arial"/>
          </rPr>
          <t>Adam and Eve disobeyed God. God promised to crush the head of the serpent who led them astray.</t>
        </r>
      </text>
    </comment>
    <comment ref="T34" authorId="0" shapeId="0" xr:uid="{00000000-0006-0000-0000-0000BB000000}">
      <text>
        <r>
          <rPr>
            <sz val="10"/>
            <color rgb="FF000000"/>
            <rFont val="Arial"/>
          </rPr>
          <t>Amid our light and momentary earthly troubles, our hearts are filled with joy as we look forward to heaven.</t>
        </r>
      </text>
    </comment>
    <comment ref="U34" authorId="0" shapeId="0" xr:uid="{00000000-0006-0000-0000-0000BC000000}">
      <text>
        <r>
          <rPr>
            <sz val="10"/>
            <color rgb="FF000000"/>
            <rFont val="Arial"/>
          </rPr>
          <t>As members of Jesus' family we share in Jesus' work.</t>
        </r>
      </text>
    </comment>
    <comment ref="N35" authorId="0" shapeId="0" xr:uid="{00000000-0006-0000-0000-0000BD000000}">
      <text>
        <r>
          <rPr>
            <sz val="10"/>
            <color rgb="FF000000"/>
            <rFont val="Arial"/>
          </rPr>
          <t>The Fruit of the Spirit: Peace
God's Spirit works powerfully in us to produce good fruit that glorifies God. In the heart of the believer the Spirit works peace. It is the complete certainty that God has reconciled us to himself in Christ and has removed all hostility that prevents us from coming to him. It is the certain assurance that our sins are forgiven and eternal life is ours. It transcends all understanding and guards our hearts and minds in Christ Jesus.</t>
        </r>
      </text>
    </comment>
    <comment ref="O35" authorId="0" shapeId="0" xr:uid="{00000000-0006-0000-0000-0000BE000000}">
      <text>
        <r>
          <rPr>
            <sz val="10"/>
            <color rgb="FF000000"/>
            <rFont val="Arial"/>
          </rPr>
          <t xml:space="preserve">O God, protector of all the faithful, you alone make strong; you alone make holy. Show us your mercy and forgive our sins day by day. Guide us through our earthly lives that we do not lose the things you have prepared for us in heaven; through Jesus Christ our Lord, who lives and reigns with you and the Holy Spirit, one God, now and forever.
</t>
        </r>
      </text>
    </comment>
    <comment ref="P35" authorId="0" shapeId="0" xr:uid="{00000000-0006-0000-0000-0000BF000000}">
      <text>
        <r>
          <rPr>
            <sz val="10"/>
            <color rgb="FF000000"/>
            <rFont val="Arial"/>
          </rPr>
          <t xml:space="preserve">Alleluia. May your priests be clothed with righteousness; may your saints sing for joy. Alleluia. </t>
        </r>
      </text>
    </comment>
    <comment ref="N36" authorId="0" shapeId="0" xr:uid="{00000000-0006-0000-0000-0000C0000000}">
      <text>
        <r>
          <rPr>
            <sz val="10"/>
            <color rgb="FF000000"/>
            <rFont val="Arial"/>
          </rPr>
          <t>The Fruit of the Spirit: Patience
God's Spirit works powerfully in us to produce good fruit that glorifies God. Love is patient. Patience is the ability to endure, to withstand difficult circumstances, to bear with our neighbor's shortcomings, to endure hardship and adversity--all so that God is glorified and our neighbor is served.</t>
        </r>
      </text>
    </comment>
    <comment ref="O36" authorId="0" shapeId="0" xr:uid="{00000000-0006-0000-0000-0000C1000000}">
      <text>
        <r>
          <rPr>
            <sz val="10"/>
            <color rgb="FF000000"/>
            <rFont val="Arial"/>
          </rPr>
          <t>O Lord, our God, govern the nations on earth and direct the affairs of this world so that your Church may worship you in peace and joy; through your Son, Jesus Christ our Lord, who lives and reigns with you and the Holy Spirit, one God, now and forever.</t>
        </r>
      </text>
    </comment>
    <comment ref="P36" authorId="0" shapeId="0" xr:uid="{00000000-0006-0000-0000-0000C2000000}">
      <text>
        <r>
          <rPr>
            <sz val="10"/>
            <color rgb="FF000000"/>
            <rFont val="Arial"/>
          </rPr>
          <t xml:space="preserve">Alleluia. Because we are his children, God has sent the Spirit of his Son into our hearts, crying, “Abba! Father!” Alleluia. </t>
        </r>
      </text>
    </comment>
    <comment ref="N37" authorId="0" shapeId="0" xr:uid="{00000000-0006-0000-0000-0000C3000000}">
      <text>
        <r>
          <rPr>
            <sz val="10"/>
            <color rgb="FF000000"/>
            <rFont val="Arial"/>
          </rPr>
          <t>The Fruit of the Spirit: Kindness
God's Spirit works powerfully in us to produce good fruit that glorifies God. God has shown us immeasurable kindness. He gave his own Son to rescue us from destruction and to purify for himself a people who are his very own, eager to do what is good. We cannot measure God's kindness to us. We can only reflect his kindness in our deeds of kindness toward others.</t>
        </r>
      </text>
    </comment>
    <comment ref="O37" authorId="0" shapeId="0" xr:uid="{00000000-0006-0000-0000-0000C4000000}">
      <text>
        <r>
          <rPr>
            <sz val="10"/>
            <color rgb="FF000000"/>
            <rFont val="Arial"/>
          </rPr>
          <t>O God, you have prepared joys beyond understanding for those who love you. Pour into our hearts such love for you that, loving you above all things, we may obtain your promises, which exceed all that we can desire; through your Son, Jesus Christ our Lord, who lives and reigns with you and the Holy Spirit, one God, now and forever.</t>
        </r>
      </text>
    </comment>
    <comment ref="P37" authorId="0" shapeId="0" xr:uid="{00000000-0006-0000-0000-0000C5000000}">
      <text>
        <r>
          <rPr>
            <sz val="10"/>
            <color rgb="FF000000"/>
            <rFont val="Arial"/>
          </rPr>
          <t xml:space="preserve">Alleluia. If anyone would come after me, he must deny himself and take up his cross and follow me. Alleluia. </t>
        </r>
      </text>
    </comment>
    <comment ref="N38" authorId="0" shapeId="0" xr:uid="{00000000-0006-0000-0000-0000C6000000}">
      <text>
        <r>
          <rPr>
            <sz val="10"/>
            <color rgb="FF000000"/>
            <rFont val="Arial"/>
          </rPr>
          <t>The Fruit of the Spirit: Goodness
God's Spirit works powerfully in us to produce good fruit that glorifies God. When it comes to earning forgiveness and eternal life, our good works are filthy rags. They merit nothing. But when it comes to the grateful lives we live as forgiven children of God, the Spirit fills us with goodness. We love what is good and pleasing to God. We do good things for our neighbor. We demonstrate good character in all our dealings. Goodness abounds in our lives, because the Spirit works in us to will and to do what is pleasing in God's sight.</t>
        </r>
      </text>
    </comment>
    <comment ref="O38" authorId="0" shapeId="0" xr:uid="{00000000-0006-0000-0000-0000C7000000}">
      <text>
        <r>
          <rPr>
            <sz val="10"/>
            <color rgb="FF000000"/>
            <rFont val="Arial"/>
          </rPr>
          <t>God of all power and might, you are the giver of all that is good. Help us love you with all our heart, strengthen us in true faith, provide us with all we need, and keep us safe in your care; through Jesus Christ, your Son, our Lord, who lives and reigns with you and the Holy Spirit, one God, now and forever.</t>
        </r>
      </text>
    </comment>
    <comment ref="P38" authorId="0" shapeId="0" xr:uid="{00000000-0006-0000-0000-0000C8000000}">
      <text>
        <r>
          <rPr>
            <sz val="10"/>
            <color rgb="FF000000"/>
            <rFont val="Arial"/>
          </rPr>
          <t xml:space="preserve">Alleluia. Happy are they who hear the Word, hold it fast in an honest and good heart, and bring forth fruit with patience. Alleluia. </t>
        </r>
      </text>
    </comment>
    <comment ref="N39" authorId="0" shapeId="0" xr:uid="{00000000-0006-0000-0000-0000C9000000}">
      <text>
        <r>
          <rPr>
            <sz val="10"/>
            <color rgb="FF000000"/>
            <rFont val="Arial"/>
          </rPr>
          <t>The Fruit of the Spirit: Faithfulness
God's Spirit works powerfully in us to produce good fruit that glorifies God. The faith in our hearts is a gift from God, and the faithfulness it produces is a fruit of his Spirit. We are diligent in following through on what we say we will do. We keep our promises. We honor our commitments. We cannot do these things faithfully on our own. God's Spirit enables us to produce the fruit of faithfulness.</t>
        </r>
      </text>
    </comment>
    <comment ref="O39" authorId="0" shapeId="0" xr:uid="{00000000-0006-0000-0000-0000CA000000}">
      <text>
        <r>
          <rPr>
            <sz val="10"/>
            <color rgb="FF000000"/>
            <rFont val="Arial"/>
          </rPr>
          <t>Almighty God, we thank you for planting in us the seed of your Word. By your Holy Spirit help us to receive it with joy and to bring forth fruits in faith and hope and love; through your Son, Jesus Christ our Lord, who lives and reigns with you and the Holy Spirit, one God, now and forever.</t>
        </r>
      </text>
    </comment>
    <comment ref="P39" authorId="0" shapeId="0" xr:uid="{00000000-0006-0000-0000-0000CB000000}">
      <text>
        <r>
          <rPr>
            <sz val="10"/>
            <color rgb="FF000000"/>
            <rFont val="Arial"/>
          </rPr>
          <t xml:space="preserve">Alleluia. The Word is very near you; it is in your mouth and in your heart so you may obey it. Alleluia. </t>
        </r>
      </text>
    </comment>
    <comment ref="N40" authorId="0" shapeId="0" xr:uid="{00000000-0006-0000-0000-0000CC000000}">
      <text>
        <r>
          <rPr>
            <sz val="10"/>
            <color rgb="FF000000"/>
            <rFont val="Arial"/>
          </rPr>
          <t>The Fruit of the Spirit: Gentleness
God's Spirit works powerfully in us to produce good fruit that glorifies God. Gentleness is rarely held up as something the world aspires to. It means putting our neighbor first, seeking the welfare of others, taking the back seat, and dealing tactfully and carefully with our neighbor's feelings. Sometimes people will take advantage of our gentleness and try to exploit what they see as a Christian weakness. But we approach life from a position of absolute strength. Our God rules over all and has made us supreme conquerors in Christ. With that powerful advantage, let your gentleness be evident to all.</t>
        </r>
      </text>
    </comment>
    <comment ref="O40" authorId="0" shapeId="0" xr:uid="{00000000-0006-0000-0000-0000CD000000}">
      <text>
        <r>
          <rPr>
            <sz val="10"/>
            <color rgb="FF000000"/>
            <rFont val="Arial"/>
          </rPr>
          <t>Grant us, Lord, the spirit to think and do what is right that we, who cannot do anything that is good without you, may by your help be enabled to live according to your will; through Jesus Christ, your Son, our Lord, who lives and reigns with you and the Holy Spirit, one God, now and forever.</t>
        </r>
      </text>
    </comment>
    <comment ref="P40" authorId="0" shapeId="0" xr:uid="{00000000-0006-0000-0000-0000CE000000}">
      <text>
        <r>
          <rPr>
            <sz val="10"/>
            <color rgb="FF000000"/>
            <rFont val="Arial"/>
          </rPr>
          <t>Alleluia! My Word will not return to me empty but will accomplish what I desire and achieve the purpose for which I sent it. Alleluia!</t>
        </r>
      </text>
    </comment>
    <comment ref="N41" authorId="0" shapeId="0" xr:uid="{00000000-0006-0000-0000-0000CF000000}">
      <text>
        <r>
          <rPr>
            <sz val="10"/>
            <color rgb="FF000000"/>
            <rFont val="Arial"/>
          </rPr>
          <t>The Fruit of the Spirit: Self-control
God's Spirit works powerfully in us to produce good fruit that glorifies God. We are not slaves to wickedness, to sinful passions, to evil desires. Satan does not own or control us. We are not animals driven by instincts and urges that need to be gratified. We are God's people. His Spirit lives in us, and he works powerfully in us and through us to will and to do what is pleasing to him.</t>
        </r>
      </text>
    </comment>
    <comment ref="O41" authorId="0" shapeId="0" xr:uid="{00000000-0006-0000-0000-0000D0000000}">
      <text>
        <r>
          <rPr>
            <sz val="10"/>
            <color rgb="FF000000"/>
            <rFont val="Arial"/>
          </rPr>
          <t>O Lord, your ears are always open to the prayers of your humble servants, who come to you in Jesus' name. Teach us always to ask according to your will that we may never fail to obtain the blessings you have promised; through Jesus Christ, your Son, our Lord, who lives and reigns with you and the Holy Spirit, one God, now and forever.</t>
        </r>
      </text>
    </comment>
    <comment ref="P41" authorId="0" shapeId="0" xr:uid="{00000000-0006-0000-0000-0000D1000000}">
      <text>
        <r>
          <rPr>
            <sz val="10"/>
            <color rgb="FF000000"/>
            <rFont val="Arial"/>
          </rPr>
          <t>Alleluia! Lord, to whom shall we go? You have the words of eternal life. Alleluia!</t>
        </r>
      </text>
    </comment>
    <comment ref="N42" authorId="0" shapeId="0" xr:uid="{00000000-0006-0000-0000-0000D2000000}">
      <text>
        <r>
          <rPr>
            <sz val="10"/>
            <color rgb="FF000000"/>
            <rFont val="Arial"/>
          </rPr>
          <t>Eat healthy! Eat what matters!
Today we begin a four-part mini-series on the Gospel of John, chapter 6. John 6 is pivotal because it marks the peak of Jesus' popularity during his earthly ministry.
The crowds were following Jesus hoping to see miracles and have their bellies filled. Jesus told them their priorities were all wrong. Instead of worrying about such trivial earthly things they should feed and take care of their souls.
Our bellies may be full but our souls starving. We may be surrounded by plenty yet be spiritually destitute. Only the Bread of Life truly satisfies!</t>
        </r>
      </text>
    </comment>
    <comment ref="O42" authorId="0" shapeId="0" xr:uid="{00000000-0006-0000-0000-0000D3000000}">
      <text>
        <r>
          <rPr>
            <sz val="10"/>
            <color rgb="FF000000"/>
            <rFont val="Arial"/>
          </rPr>
          <t>O God, you reveal your mighty power chiefly in showing mercy and kindness. Grant us the full measure of your grace that we may obtain your promises and become partakers of your heavenly glory; through Jesus Christ, your Son, our Lord, who lives and reigns with you and the Holy Spirit, one God, now and forever.</t>
        </r>
      </text>
    </comment>
    <comment ref="P42" authorId="0" shapeId="0" xr:uid="{00000000-0006-0000-0000-0000D4000000}">
      <text>
        <r>
          <rPr>
            <sz val="10"/>
            <color rgb="FF000000"/>
            <rFont val="Arial"/>
          </rPr>
          <t>Alleluia! Jesus replied, "If anyone loves me, he will obey my teaching. My Father will love him, and we will come to him and make our home with him." Alleluia!</t>
        </r>
      </text>
    </comment>
    <comment ref="N43" authorId="0" shapeId="0" xr:uid="{00000000-0006-0000-0000-0000D5000000}">
      <text>
        <r>
          <rPr>
            <sz val="10"/>
            <color rgb="FF000000"/>
            <rFont val="Arial"/>
          </rPr>
          <t>Eat healthy! Eat the Bread from heaven!
Today we continue our four-part mini-series on the Gospel of John, chapter 6. John 6 is pivotal because it marks the peak of Jesus' popularity during his earthly ministry.
Jesus came from the Father down to earth to give life to the world. He is the living Bread from heaven. No manna in the wilderness, no bread baked with wheat or barley, can feed and satisfy the soul as Jesus does.
To reunite us to himself God gives us himself. Jesus draws us to himself, and joins us to himself in the most loving and personal way. This Bread from heaven is celestial food that nourishes us for our journey through life.</t>
        </r>
      </text>
    </comment>
    <comment ref="O43" authorId="0" shapeId="0" xr:uid="{00000000-0006-0000-0000-0000D6000000}">
      <text>
        <r>
          <rPr>
            <sz val="10"/>
            <color rgb="FF000000"/>
            <rFont val="Arial"/>
          </rPr>
          <t>Almighty and everlasting God, you are always more ready to hear than we to pray, and to give more than we either desire or deserve. Pour upon us the abundance of your mercy, forgiving us those things of which our conscience is afraid, and giving us those good things for which we are not worthy to ask, except through the merits and mediation of your Son, Jesus Christ our Lord, who lives and reigns with you and the Holy Spirit, one God, now and forever.</t>
        </r>
      </text>
    </comment>
    <comment ref="P43" authorId="0" shapeId="0" xr:uid="{00000000-0006-0000-0000-0000D7000000}">
      <text>
        <r>
          <rPr>
            <sz val="10"/>
            <color rgb="FF000000"/>
            <rFont val="Arial"/>
          </rPr>
          <t>Alleluia! Now faith is being sure of what we hope for and certain of what we do not see. Alleluia! (Hebrews 11:1)</t>
        </r>
      </text>
    </comment>
    <comment ref="N44" authorId="0" shapeId="0" xr:uid="{00000000-0006-0000-0000-0000D8000000}">
      <text>
        <r>
          <rPr>
            <sz val="10"/>
            <color rgb="FF000000"/>
            <rFont val="Arial"/>
          </rPr>
          <t>Eat healthy! Eat and live!
Today we continue our four-part mini-series on the Gospel of John, chapter 6. John 6 is pivotal because it marks the peak of Jesus' popularity during his earthly ministry.
The bread that feeds our bodies soon becomes moldy and spoils. The bodies it feeds age and die and decay. There is no energy drink or vitamin complex, no power bar or health food that can halt the ravages of sin and let a human body cheat death.
But the Bread of Life from heaven gives life forever. Jesus' body bore the curse of sin to remove the sentence of death that hangs over all people. All life flows from God. Jesus came from the Father and is himself the source of life for all who believe. Eat and live!</t>
        </r>
      </text>
    </comment>
    <comment ref="O44" authorId="0" shapeId="0" xr:uid="{00000000-0006-0000-0000-0000D9000000}">
      <text>
        <r>
          <rPr>
            <sz val="10"/>
            <color rgb="FF000000"/>
            <rFont val="Arial"/>
          </rPr>
          <t>Almighty and merciful God, it is only by your gift of grace that we come into your presence and offer true and faithful service. Grant that our worship on earth may always be pleasing to you, and in the life to come give us the fulfillment of what you have promised; through Jesus Christ, your Son, our Lord, who lives and reigns with you and the Holy Spirit, one God, now and forever.</t>
        </r>
      </text>
    </comment>
    <comment ref="P44" authorId="0" shapeId="0" xr:uid="{00000000-0006-0000-0000-0000DA000000}">
      <text>
        <r>
          <rPr>
            <sz val="10"/>
            <color rgb="FF000000"/>
            <rFont val="Arial"/>
          </rPr>
          <t>Alleluia! The Word of God is living and active, sharper than any two-edged sword, discerning the thoughts and intentions of the heart. Alleluia!</t>
        </r>
      </text>
    </comment>
    <comment ref="N45" authorId="0" shapeId="0" xr:uid="{00000000-0006-0000-0000-0000DB000000}">
      <text>
        <r>
          <rPr>
            <sz val="10"/>
            <color rgb="FF000000"/>
            <rFont val="Arial"/>
          </rPr>
          <t>Eat healthy! No other diet satisfies!
Today we conclude our four-part mini-series on the Gospel of John, chapter 6. John 6 is pivotal because it marks the peak of Jesus' popularity during his earthly ministry.
Many people who heard Jesus say he is the Bread of life were offended at his words. "This is a hard saying," they grumbled. "Who can accept it?" Many disciples left Jesus and no longer followed him.
But a few realized they had found in Jesus the Bread of Life. What Jesus offers can be found nowhere else. "Lord, to whom shall we go? You have the words of eternal life."</t>
        </r>
      </text>
    </comment>
    <comment ref="O45" authorId="0" shapeId="0" xr:uid="{00000000-0006-0000-0000-0000DC000000}">
      <text>
        <r>
          <rPr>
            <sz val="10"/>
            <color rgb="FF000000"/>
            <rFont val="Arial"/>
          </rPr>
          <t>Almighty and everlasting God, give us an increase of faith, hope, and love; and, that we may obtain what you promise, make us love what you command; through Jesus Christ, your Son, our Lord, who lives and reigns with you and the Holy Spirit, one God, now and forever.</t>
        </r>
      </text>
    </comment>
    <comment ref="P45" authorId="0" shapeId="0" xr:uid="{00000000-0006-0000-0000-0000DD000000}">
      <text>
        <r>
          <rPr>
            <sz val="10"/>
            <color rgb="FF000000"/>
            <rFont val="Arial"/>
          </rPr>
          <t>Alleluia! Jesus Christ has destroyed death and brought life and immortality to light through the gospel. Alleluia!</t>
        </r>
      </text>
    </comment>
    <comment ref="N46" authorId="0" shapeId="0" xr:uid="{00000000-0006-0000-0000-0000DE000000}">
      <text>
        <r>
          <rPr>
            <sz val="10"/>
            <color rgb="FF000000"/>
            <rFont val="Arial"/>
          </rPr>
          <t>Dress for Success
Proper attire is important to success in every situation. The executive, the construction worker, the medical professional, the teacher--all have their professional wardrobe that enables them to carry out their tasks.
Each day we arm ourselves for battle with the devil, the world, and our own sinful desires. It's important that we dress for success in facing the challenges of life. Today we see how God cleanses us from everything that defiles and clothes us with everything we need to be successful in the struggles of life.</t>
        </r>
      </text>
    </comment>
    <comment ref="O46" authorId="0" shapeId="0" xr:uid="{00000000-0006-0000-0000-0000DF000000}">
      <text>
        <r>
          <rPr>
            <sz val="10"/>
            <color rgb="FF000000"/>
            <rFont val="Arial"/>
          </rPr>
          <t>O Lord Jesus Christ, preserve the congregation of believers with your never-failing mercy. Help us avoid whatever is wicked and harmful, and guide us in the way that leads to our salvation; for you live and reign with the Father and the Holy Spirit, one God, now and forever.</t>
        </r>
      </text>
    </comment>
    <comment ref="P46" authorId="0" shapeId="0" xr:uid="{00000000-0006-0000-0000-0000E0000000}">
      <text>
        <r>
          <rPr>
            <sz val="10"/>
            <color rgb="FF000000"/>
            <rFont val="Arial"/>
          </rPr>
          <t>Alleluia! Your words became a joy to me, and the delight of my heart. Alleluia!</t>
        </r>
      </text>
    </comment>
    <comment ref="O47" authorId="0" shapeId="0" xr:uid="{00000000-0006-0000-0000-0000E1000000}">
      <text>
        <r>
          <rPr>
            <sz val="10"/>
            <color rgb="FF000000"/>
            <rFont val="Arial"/>
          </rPr>
          <t>Let your continual mercy, O Lord, cleanse and defend your Church; and because it cannot continue in safety without your help, protect and govern it always by your goodness; for you live and reign with the Father and the Holy Spirit, one God, now and forever.</t>
        </r>
      </text>
    </comment>
    <comment ref="P47" authorId="0" shapeId="0" xr:uid="{00000000-0006-0000-0000-0000E2000000}">
      <text>
        <r>
          <rPr>
            <sz val="10"/>
            <color rgb="FF000000"/>
            <rFont val="Arial"/>
          </rPr>
          <t>Alleluia! Rejoice in the Lord always; again I will say, Rejoice. Alleluia!</t>
        </r>
      </text>
    </comment>
    <comment ref="O48" authorId="0" shapeId="0" xr:uid="{00000000-0006-0000-0000-0000E3000000}">
      <text>
        <r>
          <rPr>
            <sz val="10"/>
            <color rgb="FF000000"/>
            <rFont val="Arial"/>
          </rPr>
          <t>Lord, we pray that your mercy and grace may always go before and follow after us that, loving you with undivided hearts, we may be ready for every good and useful work; through your Son, Jesus Christ our Lord, who lives and reigns with you and the Holy Spirit, one God, now and forever.</t>
        </r>
      </text>
    </comment>
    <comment ref="P48" authorId="0" shapeId="0" xr:uid="{00000000-0006-0000-0000-0000E4000000}">
      <text>
        <r>
          <rPr>
            <sz val="10"/>
            <color rgb="FF000000"/>
            <rFont val="Arial"/>
          </rPr>
          <t>Alleluia! Everything that was written in the past was written to teach us, so that through endurance and the encouragement of the Scriptures we might have hope. Alleluia!</t>
        </r>
      </text>
    </comment>
    <comment ref="O49" authorId="0" shapeId="0" xr:uid="{00000000-0006-0000-0000-0000E5000000}">
      <text>
        <r>
          <rPr>
            <sz val="10"/>
            <color rgb="FF000000"/>
            <rFont val="Arial"/>
          </rPr>
          <t>Lord God, you call us to work in your kingdom and leave no one standing idle. Help us to order our lives by your wisdom and to serve you in willing obedience; through Jesus Christ, your Son, our Lord, who lives and reigns with you and the Holy Spirit, one God, now and forever.</t>
        </r>
      </text>
    </comment>
    <comment ref="P49" authorId="0" shapeId="0" xr:uid="{00000000-0006-0000-0000-0000E6000000}">
      <text>
        <r>
          <rPr>
            <sz val="10"/>
            <color rgb="FF000000"/>
            <rFont val="Arial"/>
          </rPr>
          <t>Alleluia! My grace is sufficient for you, for my power is made perfect in weakness. Alleluia!</t>
        </r>
      </text>
    </comment>
    <comment ref="O50" authorId="0" shapeId="0" xr:uid="{00000000-0006-0000-0000-0000E7000000}">
      <text>
        <r>
          <rPr>
            <sz val="10"/>
            <color rgb="FF000000"/>
            <rFont val="Arial"/>
          </rPr>
          <t>Mercifully grant, O God, that your Holy Spirit may in all things direct and rule our hearts, for without your help we are unable to please you; through Jesus Christ, your Son, our Lord, who lives and reigns with you and the Holy Spirit, one God, now and forever.</t>
        </r>
      </text>
    </comment>
    <comment ref="P50" authorId="0" shapeId="0" xr:uid="{00000000-0006-0000-0000-0000E8000000}">
      <text>
        <r>
          <rPr>
            <sz val="10"/>
            <color rgb="FF000000"/>
            <rFont val="Arial"/>
          </rPr>
          <t>Alleluia! At the name of Jesus every knee should bow, and every tongue confess that Jesus Christ is Lord, to the glory of God the Father. Alleluia!</t>
        </r>
      </text>
    </comment>
    <comment ref="O51" authorId="0" shapeId="0" xr:uid="{00000000-0006-0000-0000-0000E9000000}">
      <text>
        <r>
          <rPr>
            <sz val="10"/>
            <color rgb="FF000000"/>
            <rFont val="Arial"/>
          </rPr>
          <t>Almighty God, in your bountiful goodness keep us safe from every evil of body and soul. Make us ready, with cheerful hearts, to do whatever pleases you; through Jesus Christ, your Son, our Lord, who lives and reigns with you and the Holy Spirit, one God, now and forever.</t>
        </r>
      </text>
    </comment>
    <comment ref="P51" authorId="0" shapeId="0" xr:uid="{00000000-0006-0000-0000-0000EA000000}">
      <text>
        <r>
          <rPr>
            <sz val="10"/>
            <color rgb="FF000000"/>
            <rFont val="Arial"/>
          </rPr>
          <t>Alleluia! I will proclaim your name to my people; in the midst of the congregation I will praise you. Alleluia!</t>
        </r>
      </text>
    </comment>
    <comment ref="O52" authorId="0" shapeId="0" xr:uid="{00000000-0006-0000-0000-0000EB000000}">
      <text>
        <r>
          <rPr>
            <sz val="10"/>
            <color rgb="FF000000"/>
            <rFont val="Arial"/>
          </rPr>
          <t>Almighty God, in your bountiful goodness keep us safe from every evil of body and soul. Make us ready, with cheerful hearts, to do whatever pleases you; through Jesus Christ, your Son, our Lord, who lives and reigns with you and the Holy Spirit, one God, now and forever.</t>
        </r>
      </text>
    </comment>
    <comment ref="P52" authorId="0" shapeId="0" xr:uid="{00000000-0006-0000-0000-0000EC000000}">
      <text>
        <r>
          <rPr>
            <sz val="10"/>
            <color rgb="FF000000"/>
            <rFont val="Arial"/>
          </rPr>
          <t>Alleluia! I will proclaim your name to my people; in the midst of the congregation I will praise you. Alleluia!</t>
        </r>
      </text>
    </comment>
    <comment ref="O53" authorId="0" shapeId="0" xr:uid="{00000000-0006-0000-0000-0000ED000000}">
      <text>
        <r>
          <rPr>
            <sz val="10"/>
            <color rgb="FF000000"/>
            <rFont val="Arial"/>
          </rPr>
          <t>Lord, keep your household, the Church, in continual godliness and set us free from all adversities that, under your protection, we may serve you with true devotion and holy deeds; through Jesus Christ, your Son, our Lord, who lives and reigns with you and the Holy Spirit, one God, now and forever.</t>
        </r>
      </text>
    </comment>
    <comment ref="P53" authorId="0" shapeId="0" xr:uid="{00000000-0006-0000-0000-0000EE000000}">
      <text>
        <r>
          <rPr>
            <sz val="10"/>
            <color rgb="FF000000"/>
            <rFont val="Arial"/>
          </rPr>
          <t>Alleluia! For we are God's workmanship, created in Christ Jesus to do good works. Alleluia.</t>
        </r>
      </text>
    </comment>
    <comment ref="O54" authorId="0" shapeId="0" xr:uid="{00000000-0006-0000-0000-0000EF000000}">
      <text>
        <r>
          <rPr>
            <sz val="10"/>
            <color rgb="FF000000"/>
            <rFont val="Arial"/>
          </rPr>
          <t>Lord, keep your household, the Church, in continual godliness and set us free from all adversities that, under your protection, we may serve you with true devotion and holy deeds; through Jesus Christ, your Son, our Lord, who lives and reigns with you and the Holy Spirit, one God, now and forever.</t>
        </r>
      </text>
    </comment>
    <comment ref="P54" authorId="0" shapeId="0" xr:uid="{00000000-0006-0000-0000-0000F0000000}">
      <text>
        <r>
          <rPr>
            <sz val="10"/>
            <color rgb="FF000000"/>
            <rFont val="Arial"/>
          </rPr>
          <t>Alleluia! For we are God's workmanship, created in Christ Jesus to do good works. Alleluia.</t>
        </r>
      </text>
    </comment>
    <comment ref="O55" authorId="0" shapeId="0" xr:uid="{00000000-0006-0000-0000-0000F1000000}">
      <text>
        <r>
          <rPr>
            <sz val="10"/>
            <color rgb="FF000000"/>
            <rFont val="Arial"/>
          </rPr>
          <t>Lord God Almighty, so rule and govern our hearts and minds by your Holy Spirit that we may always look forward to the end of this present evil age and to teh day of your righteous judgment. Keep us steadfast in true and living faith and present us at last holy and blameless before you; through your Son, Jesus Christ our Lord, who lives and reigns with you and the Holy Spirit, one God, now and forever.</t>
        </r>
      </text>
    </comment>
    <comment ref="P55" authorId="0" shapeId="0" xr:uid="{00000000-0006-0000-0000-0000F2000000}">
      <text>
        <r>
          <rPr>
            <sz val="10"/>
            <color rgb="FF000000"/>
            <rFont val="Arial"/>
          </rPr>
          <t>Alleluia! Watch therefore, for you do not know on what day your Lord is coming. Alleluia!</t>
        </r>
      </text>
    </comment>
    <comment ref="O56" authorId="0" shapeId="0" xr:uid="{00000000-0006-0000-0000-0000F3000000}">
      <text>
        <r>
          <rPr>
            <sz val="10"/>
            <color rgb="FF000000"/>
            <rFont val="Arial"/>
          </rPr>
          <t>Almighty God and Savior, you have set the final day and hour when we shall be delivered from this world of sin and death. Keep us ever watchful for the coming of your Son that we may sit with him and all your holy ones at the marriage feast in heaven; through Jesus Christ, your Son, our Lord, who lives and reigns with you and the Holy Spirit, one God, now and forever.</t>
        </r>
      </text>
    </comment>
    <comment ref="P56" authorId="0" shapeId="0" xr:uid="{00000000-0006-0000-0000-0000F4000000}">
      <text>
        <r>
          <rPr>
            <sz val="10"/>
            <color rgb="FF000000"/>
            <rFont val="Arial"/>
          </rPr>
          <t>Alleluia! They are before the throne of God and serve him day and night in his temple. Alleluia!</t>
        </r>
      </text>
    </comment>
    <comment ref="O57" authorId="0" shapeId="0" xr:uid="{00000000-0006-0000-0000-0000F5000000}">
      <text>
        <r>
          <rPr>
            <sz val="10"/>
            <color rgb="FF000000"/>
            <rFont val="Arial"/>
          </rPr>
          <t>Lord Jesus Christ, by your victory you have broken the power of the evil one. Fill our hearts with joy and peace as we look with hope to that day when every creature in heaven and earth will acclaim you King of kings and Lord of lords to your unending praise and glory; for you live and reign with the Father and the Holy Spirit, one God, now and forever.</t>
        </r>
      </text>
    </comment>
    <comment ref="P57" authorId="0" shapeId="0" xr:uid="{00000000-0006-0000-0000-0000F6000000}">
      <text>
        <r>
          <rPr>
            <sz val="10"/>
            <color rgb="FF000000"/>
            <rFont val="Arial"/>
          </rPr>
          <t>Alleluia! I am the Alpha and the Omega, the First and the Last, the Beginning and the End. Alleluia!</t>
        </r>
      </text>
    </comment>
    <comment ref="O58" authorId="0" shapeId="0" xr:uid="{00000000-0006-0000-0000-0000F7000000}">
      <text>
        <r>
          <rPr>
            <sz val="10"/>
            <color rgb="FF000000"/>
            <rFont val="Arial"/>
          </rPr>
          <t>Almighty God our Father, your generous goodness comes to us new every day. By the work of your Spirit lead us to acknowledge your goodness, give thanks for your benefits, and serve you in willing obedience; through your Son, Jesus Christ our Lord.</t>
        </r>
      </text>
    </comment>
    <comment ref="P58" authorId="0" shapeId="0" xr:uid="{00000000-0006-0000-0000-0000F8000000}">
      <text>
        <r>
          <rPr>
            <sz val="10"/>
            <color rgb="FF000000"/>
            <rFont val="Arial"/>
          </rPr>
          <t>Alleluia! Give thanks to the Lord, for he is good. His love endures forever. Alleluia!</t>
        </r>
      </text>
    </comment>
    <comment ref="O59" authorId="0" shapeId="0" xr:uid="{00000000-0006-0000-0000-0000F9000000}">
      <text>
        <r>
          <rPr>
            <sz val="10"/>
            <color rgb="FF000000"/>
            <rFont val="Arial"/>
          </rPr>
          <t>Almighty God our Father, your generous goodness comes to us new every day. By the work of your Spirit lead us to acknowledge your goodness, give thanks for your benefits, and serve you in willing obedience; through your Son, Jesus Christ our Lord.</t>
        </r>
      </text>
    </comment>
    <comment ref="P59" authorId="0" shapeId="0" xr:uid="{00000000-0006-0000-0000-0000FA000000}">
      <text>
        <r>
          <rPr>
            <sz val="10"/>
            <color rgb="FF000000"/>
            <rFont val="Arial"/>
          </rPr>
          <t>Alleluia! Give thanks to the Lord, for he is good. His love endures forever. Alleluia!</t>
        </r>
      </text>
    </comment>
    <comment ref="O60" authorId="0" shapeId="0" xr:uid="{00000000-0006-0000-0000-0000FB000000}">
      <text>
        <r>
          <rPr>
            <sz val="10"/>
            <color rgb="FF000000"/>
            <rFont val="Arial"/>
          </rPr>
          <t>Stir up your power, O Lord, and come. Protect us by your strength and save us from the threatening dangers of our sins; for you live and reign with the Father and the Holy Spirit, one God, now and forever.</t>
        </r>
      </text>
    </comment>
    <comment ref="P60" authorId="0" shapeId="0" xr:uid="{00000000-0006-0000-0000-0000FC000000}">
      <text>
        <r>
          <rPr>
            <sz val="10"/>
            <color rgb="FF000000"/>
            <rFont val="Arial"/>
          </rPr>
          <t>Alleluia! He who testifies to these things says, "Yes, I am coming soon." Amen. Come, Lord Jesus. Alleluia!</t>
        </r>
      </text>
    </comment>
    <comment ref="O61" authorId="0" shapeId="0" xr:uid="{00000000-0006-0000-0000-0000FD000000}">
      <text>
        <r>
          <rPr>
            <sz val="10"/>
            <color rgb="FF000000"/>
            <rFont val="Arial"/>
          </rPr>
          <t>Stir up our hearts, O Lord, to prepare the way for your only Son. By his coming give us strength in our conflicts and shed light on our path through the darkness of this world; through your Son, Jesus Christ our Lord, who lives and reigns with you and the Holy Spirit, one God, now and forever.</t>
        </r>
      </text>
    </comment>
    <comment ref="P61" authorId="0" shapeId="0" xr:uid="{00000000-0006-0000-0000-0000FE000000}">
      <text>
        <r>
          <rPr>
            <sz val="10"/>
            <color rgb="FF000000"/>
            <rFont val="Arial"/>
          </rPr>
          <t>Alleluia! Prepare the way for the Lord, make straight paths for him. All mankind will see God's salvation. Alleluia!</t>
        </r>
      </text>
    </comment>
    <comment ref="O62" authorId="0" shapeId="0" xr:uid="{00000000-0006-0000-0000-0000FF000000}">
      <text>
        <r>
          <rPr>
            <sz val="10"/>
            <color rgb="FF000000"/>
            <rFont val="Arial"/>
          </rPr>
          <t>Stir up our hearts, O Lord, to prepare the way for your only Son. By his coming give us strength in our conflicts and shed light on our path through the darkness of this world; through your Son, Jesus Christ our Lord, who lives and reigns with you and the Holy Spirit, one God, now and forever.</t>
        </r>
      </text>
    </comment>
    <comment ref="O63" authorId="0" shapeId="0" xr:uid="{00000000-0006-0000-0000-000000010000}">
      <text>
        <r>
          <rPr>
            <sz val="10"/>
            <color rgb="FF000000"/>
            <rFont val="Arial"/>
          </rPr>
          <t>Hear our prayers, lord Jesus Christ, and come with the good news of your mighty deliverance. Drive the darkness from our hearts and fill us with your light; for you live and reign with the Father and the Holy Spirit, one God, now and forever.</t>
        </r>
      </text>
    </comment>
    <comment ref="P63" authorId="0" shapeId="0" xr:uid="{00000000-0006-0000-0000-000001010000}">
      <text>
        <r>
          <rPr>
            <sz val="10"/>
            <color rgb="FF000000"/>
            <rFont val="Arial"/>
          </rPr>
          <t>Alleluia! I will send my messenger ahead of you, who will prepare your way before you. Alleluia!</t>
        </r>
      </text>
    </comment>
    <comment ref="O64" authorId="0" shapeId="0" xr:uid="{00000000-0006-0000-0000-000002010000}">
      <text>
        <r>
          <rPr>
            <sz val="10"/>
            <color rgb="FF000000"/>
            <rFont val="Arial"/>
          </rPr>
          <t>Hear our prayers, lord Jesus Christ, and come with the good news of your mighty deliverance. Drive the darkness from our hearts and fill us with your light; for you live and reign with the Father and the Holy Spirit, one God, now and forever.</t>
        </r>
      </text>
    </comment>
    <comment ref="O65" authorId="0" shapeId="0" xr:uid="{00000000-0006-0000-0000-000003010000}">
      <text>
        <r>
          <rPr>
            <sz val="10"/>
            <color rgb="FF000000"/>
            <rFont val="Arial"/>
          </rPr>
          <t>Stir up your power, O Lord, and come. Take away the burden of our sins and make us ready for the celebration of your birth, that we may receive you in joy and serve you always; for you live and reign with the Father and the Holy Spirit, one God, now and forever.</t>
        </r>
      </text>
    </comment>
    <comment ref="P65" authorId="0" shapeId="0" xr:uid="{00000000-0006-0000-0000-000004010000}">
      <text>
        <r>
          <rPr>
            <sz val="10"/>
            <color rgb="FF000000"/>
            <rFont val="Arial"/>
          </rPr>
          <t>Alleluia! The virgin will be with child and will give birth to a son, and they will call him Emmanuel. Alleluia!</t>
        </r>
      </text>
    </comment>
    <comment ref="O66" authorId="0" shapeId="0" xr:uid="{00000000-0006-0000-0000-000005010000}">
      <text>
        <r>
          <rPr>
            <sz val="10"/>
            <color rgb="FF000000"/>
            <rFont val="Arial"/>
          </rPr>
          <t>Stir up your power, O Lord, and come. Take away the burden of our sins and make us ready for the celebration of your birth, that we may receive you in joy and serve you always; for you live and reign with the Father and the Holy Spirit, one God, now and forever.</t>
        </r>
      </text>
    </comment>
    <comment ref="C67" authorId="0" shapeId="0" xr:uid="{00000000-0006-0000-0000-000006010000}">
      <text>
        <r>
          <rPr>
            <sz val="10"/>
            <color rgb="FF000000"/>
            <rFont val="Arial"/>
          </rPr>
          <t>4:00 p.m. and
6:00 p.m.</t>
        </r>
      </text>
    </comment>
    <comment ref="O67" authorId="0" shapeId="0" xr:uid="{00000000-0006-0000-0000-000007010000}">
      <text>
        <r>
          <rPr>
            <sz val="10"/>
            <color rgb="FF000000"/>
            <rFont val="Arial"/>
          </rPr>
          <t>Stir up your power, O Lord, and come. Take away the burden of our sins and make us ready for the celebration of your birth, that we may receive you in joy and serve you always; for you live and reign with the Father and the Holy Spirit, one God, now and forever.</t>
        </r>
      </text>
    </comment>
    <comment ref="C68" authorId="0" shapeId="0" xr:uid="{00000000-0006-0000-0000-000008010000}">
      <text>
        <r>
          <rPr>
            <sz val="10"/>
            <color rgb="FF000000"/>
            <rFont val="Arial"/>
          </rPr>
          <t>5:00 and 6:30 p.m.</t>
        </r>
      </text>
    </comment>
    <comment ref="O68" authorId="0" shapeId="0" xr:uid="{00000000-0006-0000-0000-000009010000}">
      <text>
        <r>
          <rPr>
            <sz val="10"/>
            <color rgb="FF000000"/>
            <rFont val="Arial"/>
          </rPr>
          <t>Almighty God, you made this holy night shine with the brightness of the true light. Grant that as we have known on earth the wonder of that light, we may also behold him in all his glory in the life to come; through your only Son, Jesus Christ our Lord, who lives and reigns with you and the Holy Spirit, one God, now and forever.</t>
        </r>
      </text>
    </comment>
    <comment ref="C69" authorId="0" shapeId="0" xr:uid="{00000000-0006-0000-0000-00000A010000}">
      <text>
        <r>
          <rPr>
            <sz val="10"/>
            <color rgb="FF000000"/>
            <rFont val="Arial"/>
          </rPr>
          <t>3:30 and 8:00 p.m.</t>
        </r>
      </text>
    </comment>
    <comment ref="O69" authorId="0" shapeId="0" xr:uid="{00000000-0006-0000-0000-00000B010000}">
      <text>
        <r>
          <rPr>
            <sz val="10"/>
            <color rgb="FF000000"/>
            <rFont val="Arial"/>
          </rPr>
          <t>Almighty God, you made this holy night shine with the brightness of the true light. Grant that as we have known on earth the wonder of that light, we may also behold him in all his glory in the life to come; through your only Son, Jesus Christ our Lord, who lives and reigns with you and the Holy Spirit, one God, now and forever.</t>
        </r>
      </text>
    </comment>
    <comment ref="P69" authorId="0" shapeId="0" xr:uid="{00000000-0006-0000-0000-00000C010000}">
      <text>
        <r>
          <rPr>
            <sz val="10"/>
            <color rgb="FF000000"/>
            <rFont val="Arial"/>
          </rPr>
          <t>Alleluia! Today in the town of David a Savior has been born to you; he is Christ the Lord. Alleluia!</t>
        </r>
      </text>
    </comment>
    <comment ref="O70" authorId="0" shapeId="0" xr:uid="{00000000-0006-0000-0000-00000D010000}">
      <text>
        <r>
          <rPr>
            <sz val="10"/>
            <color rgb="FF000000"/>
            <rFont val="Arial"/>
          </rPr>
          <t>Almighty God, grant that the birth of your only Son in the flesh may set us free from our old bondage under the yoke of sin; through Jesus Christ our Lord, who lives and reigns with you and the Holy spirit, one God, now and forever.</t>
        </r>
      </text>
    </comment>
    <comment ref="P70" authorId="0" shapeId="0" xr:uid="{00000000-0006-0000-0000-00000E010000}">
      <text>
        <r>
          <rPr>
            <sz val="10"/>
            <color rgb="FF000000"/>
            <rFont val="Arial"/>
          </rPr>
          <t>Alleluia! When the time had fully come, God sent his Son, born of a woman, born under law, to redeem those under law. Alleluia!</t>
        </r>
      </text>
    </comment>
    <comment ref="O71" authorId="0" shapeId="0" xr:uid="{00000000-0006-0000-0000-00000F010000}">
      <text>
        <r>
          <rPr>
            <sz val="10"/>
            <color rgb="FF000000"/>
            <rFont val="Arial"/>
          </rPr>
          <t>Almighty God, in mercy you sent your one and only Son to take upon himself our human nature. By his gracious coming deliver us from the corruption of our sin and transform us into the likeness of his glory; through Jesus Christ our Lord, who lives and reigns with you and the Holy Spirit, one God, now and forever.</t>
        </r>
      </text>
    </comment>
    <comment ref="P71" authorId="0" shapeId="0" xr:uid="{00000000-0006-0000-0000-000010010000}">
      <text>
        <r>
          <rPr>
            <sz val="10"/>
            <color rgb="FF000000"/>
            <rFont val="Arial"/>
          </rPr>
          <t>Alleluia! Let the peace of Christ rule in your hearts. Alleluia!</t>
        </r>
      </text>
    </comment>
    <comment ref="O72" authorId="0" shapeId="0" xr:uid="{00000000-0006-0000-0000-000011010000}">
      <text>
        <r>
          <rPr>
            <sz val="10"/>
            <color rgb="FF000000"/>
            <rFont val="Arial"/>
          </rPr>
          <t>Eternal Father, before whom all generations rise and fall, teach us to think earnestly on the brevity of our lives and on the immensity of your goodness. Help us to enter the new year trusting in the name of your Son and walking in the way of his peace; through Jesus Christ our Lord, who lives and reigns with you and the Holy Spirit, one God, now and forever.</t>
        </r>
      </text>
    </comment>
    <comment ref="P72" authorId="0" shapeId="0" xr:uid="{00000000-0006-0000-0000-000012010000}">
      <text>
        <r>
          <rPr>
            <sz val="10"/>
            <color rgb="FF000000"/>
            <rFont val="Arial"/>
          </rPr>
          <t>Alleluia! Your word is a lamp to my feet and a light for my path. Alleluia!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1" authorId="0" shapeId="0" xr:uid="{00000000-0006-0000-0100-000001000000}">
      <text>
        <r>
          <rPr>
            <sz val="10"/>
            <color rgb="FF000000"/>
            <rFont val="Arial"/>
          </rPr>
          <t>Enter the calendar date for the service. Details for that service will show below. For this page, only 2017 services are available.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O2" authorId="0" shapeId="0" xr:uid="{00000000-0006-0000-0200-000001000000}">
      <text>
        <r>
          <rPr>
            <sz val="10"/>
            <color rgb="FF000000"/>
            <rFont val="Arial"/>
          </rPr>
          <t>It's all about Jesus: Children of God redeemed by Christ
Children have a special place in the family. Even a tiny toddler enjoys a status that surpasses that of a butler or a maid or any servant. The child is the special delight of his parents, and in the end the child will inherit what the parents own.
Jesus has redeemed us to be God's children. That gives us a special place in our Father's family. Not only do we enjoy all of the blessings of a place in God's household, but we will receive the inheritance, the gift of eternal life.</t>
        </r>
      </text>
    </comment>
    <comment ref="Q2" authorId="0" shapeId="0" xr:uid="{00000000-0006-0000-0200-000002000000}">
      <text>
        <r>
          <rPr>
            <sz val="10"/>
            <color rgb="FF000000"/>
            <rFont val="Arial"/>
          </rPr>
          <t>Alleluia. We saw his star in the east and have come to worship him. Alleluia.</t>
        </r>
      </text>
    </comment>
    <comment ref="U2" authorId="0" shapeId="0" xr:uid="{00000000-0006-0000-0200-000003000000}">
      <text>
        <r>
          <rPr>
            <sz val="10"/>
            <color rgb="FF000000"/>
            <rFont val="Arial"/>
          </rPr>
          <t>God is grieved by the misery we bring to ourselves by our sin, so he steps in to rescue his children with his salvation.</t>
        </r>
      </text>
    </comment>
    <comment ref="V2" authorId="0" shapeId="0" xr:uid="{00000000-0006-0000-0200-000004000000}">
      <text>
        <r>
          <rPr>
            <sz val="10"/>
            <color rgb="FF000000"/>
            <rFont val="Arial"/>
          </rPr>
          <t>When the time had fully come God sent his Son to make us children of God and heirs of salvation.</t>
        </r>
      </text>
    </comment>
    <comment ref="W2" authorId="0" shapeId="0" xr:uid="{00000000-0006-0000-0200-000005000000}">
      <text>
        <r>
          <rPr>
            <sz val="10"/>
            <color rgb="FF000000"/>
            <rFont val="Arial"/>
          </rPr>
          <t>Joseph and Mary fled with Jesus to Egypt to escape the wrath of Herod.</t>
        </r>
      </text>
    </comment>
    <comment ref="O3" authorId="0" shapeId="0" xr:uid="{00000000-0006-0000-0200-000006000000}">
      <text>
        <r>
          <rPr>
            <sz val="10"/>
            <color rgb="FF000000"/>
            <rFont val="Arial"/>
          </rPr>
          <t>It's all about Jesus: Baptized in the Spirit
God anointed Jesus with the Holy Spirit and power. God proclaimed publicly that Jesus' ministry was authorized and valid, and Jesus began his work in the Spirit's power.
When we were baptized in the Spirit, we were baptized into Christ. Through our baptism we claim a place in God's family as brothers and sisters of Jesus, and we enjoy all the blessings of his redemption.</t>
        </r>
      </text>
    </comment>
    <comment ref="P3" authorId="0" shapeId="0" xr:uid="{00000000-0006-0000-0200-000007000000}">
      <text>
        <r>
          <rPr>
            <sz val="10"/>
            <color rgb="FF000000"/>
            <rFont val="Arial"/>
          </rPr>
          <t>Father in heaven, at the baptism of Jesus in the River Jordan you proclaimed him your beloved Son and anointed him with the Holy Spirit. Keep us who are baptized into Christ faithful in our calling as your children and make us heirs with him of everlasting life; through your Son, Jesus Christ our Lord, who lives and reigns with you and the Holy Spirit, one God, now and forever.</t>
        </r>
      </text>
    </comment>
    <comment ref="Q3" authorId="0" shapeId="0" xr:uid="{00000000-0006-0000-0200-000008000000}">
      <text>
        <r>
          <rPr>
            <sz val="10"/>
            <color rgb="FF000000"/>
            <rFont val="Arial"/>
          </rPr>
          <t>Alleluia! You are my Son, whom I love; with you I am well pleased. Alleluia!</t>
        </r>
      </text>
    </comment>
    <comment ref="U3" authorId="0" shapeId="0" xr:uid="{00000000-0006-0000-0200-000009000000}">
      <text>
        <r>
          <rPr>
            <sz val="10"/>
            <color rgb="FF000000"/>
            <rFont val="Arial"/>
          </rPr>
          <t>The servant of the Lord will bring justice to the nations.</t>
        </r>
      </text>
    </comment>
    <comment ref="V3" authorId="0" shapeId="0" xr:uid="{00000000-0006-0000-0200-00000A000000}">
      <text>
        <r>
          <rPr>
            <sz val="10"/>
            <color rgb="FF000000"/>
            <rFont val="Arial"/>
          </rPr>
          <t>Jesus was anointed with the Spirit of God and with power, as he began his public ministry.</t>
        </r>
      </text>
    </comment>
    <comment ref="W3" authorId="0" shapeId="0" xr:uid="{00000000-0006-0000-0200-00000B000000}">
      <text>
        <r>
          <rPr>
            <sz val="10"/>
            <color rgb="FF000000"/>
            <rFont val="Arial"/>
          </rPr>
          <t>Jesus' baptism</t>
        </r>
      </text>
    </comment>
    <comment ref="M4" authorId="0" shapeId="0" xr:uid="{00000000-0006-0000-0200-00000C000000}">
      <text>
        <r>
          <rPr>
            <sz val="10"/>
            <color rgb="FF000000"/>
            <rFont val="Arial"/>
          </rPr>
          <t>Prayer of the Church for Epiphany 2 (3 parts):
Part 1:
Gracious Father in heaven, you do not desire the death of the wicked, but that all should repent, turn from evil, and find forgiveness and salvation. In love you sent your only-begotten Son to bear our sin and to bring us salvation. You sent him to be the Savior of the world, the Redeemer of all mankind, and the hope of people of every nation. As we see the gift of your Son revealed, together with John the Baptist we proclaim: (sung response)
Part 2:
Lord Jesus, you were revealed at your baptism in the River Jordan as the chosen Christ of God, our Rescuer and our Redeemer. Your perfect obedience to all of the law of God has earned righteousness in our place. Your healing touch of love revealed the tender mercy and compassion of the Father to the downtrodden and the despairing. By your suffering on the cross you bore the burden of the sin of the world, and in your death you shed your blood as the price of redemption for all the human race. We look to you, our Savior and Friend, and with John the Baptist we proclaim: (sung response)
Part 3
O Holy Spirit, you anointed Jesus of Nazareth with the seal of God's approval, revealing him as the Son of God and the Savior of the nations. You have opened our eyes to see and believe that in Christ alone is our salvation and hope. We pray that you would allow the Good News of salvation ring out in every region of the globe. Turn hearts everywhere from darkness in unbelief to the light of faith in truth. Bring your gift of free forgiveness to people of all generations, so that in the end there may be people of every nation, tribe and language joining in the eternal song of praise to the Lamb who was slain and who with his blood redeemed people for God. It is because you enable us to confess that we proclaim along with John the Baptist: (sung response)</t>
        </r>
      </text>
    </comment>
    <comment ref="O4" authorId="0" shapeId="0" xr:uid="{00000000-0006-0000-0200-00000D000000}">
      <text>
        <r>
          <rPr>
            <sz val="10"/>
            <color rgb="FF000000"/>
            <rFont val="Arial"/>
          </rPr>
          <t>It's all about Jesus: Finding the Messiah
Jesus didn't come only to save the Jewish nation. He came to be the Savior of the world. People of every time and nation have been bought back from sin by Jesus' blood. God's forgiveness in Christ is for all people.
To benefit from Jesus' work, people need to know him. They need to hear about Jesus and what he has done. When they have found the Messiah, they have found peace, hope and joy that last forever.</t>
        </r>
      </text>
    </comment>
    <comment ref="P4" authorId="0" shapeId="0" xr:uid="{00000000-0006-0000-0200-00000E000000}">
      <text>
        <r>
          <rPr>
            <sz val="10"/>
            <color rgb="FF000000"/>
            <rFont val="Arial"/>
          </rPr>
          <t>Almighty God, you gave your one and only Son to be the light of the world. Grant that your people, illumined by your Word and sacraments, may shine with the radiance of Christ’s glory, that he may be known, worshiped, and believed to the ends of the earth; through Jesus Christ our Lord, who with you and the Holy Spirit lives and reigns, one God, now and forever.</t>
        </r>
      </text>
    </comment>
    <comment ref="Q4" authorId="0" shapeId="0" xr:uid="{00000000-0006-0000-0200-00000F000000}">
      <text>
        <r>
          <rPr>
            <sz val="10"/>
            <color rgb="FF000000"/>
            <rFont val="Arial"/>
          </rPr>
          <t>Alleluia! He said to me, “You are my servant in whom I will display my splendor.” Alleluia!</t>
        </r>
      </text>
    </comment>
    <comment ref="U4" authorId="0" shapeId="0" xr:uid="{00000000-0006-0000-0200-000010000000}">
      <text>
        <r>
          <rPr>
            <sz val="10"/>
            <color rgb="FF000000"/>
            <rFont val="Arial"/>
          </rPr>
          <t>God's servant brings salvation to the ends of the earth.</t>
        </r>
      </text>
    </comment>
    <comment ref="V4" authorId="0" shapeId="0" xr:uid="{00000000-0006-0000-0200-000011000000}">
      <text>
        <r>
          <rPr>
            <sz val="10"/>
            <color rgb="FF000000"/>
            <rFont val="Arial"/>
          </rPr>
          <t>God has united us with Christians everywhere in calling on the name of Jesus.</t>
        </r>
      </text>
    </comment>
    <comment ref="W4" authorId="0" shapeId="0" xr:uid="{00000000-0006-0000-0200-000012000000}">
      <text>
        <r>
          <rPr>
            <sz val="10"/>
            <color rgb="FF000000"/>
            <rFont val="Arial"/>
          </rPr>
          <t>John the Baptist points to Jesus as the Lamb of God who takes away the sin of the world.</t>
        </r>
      </text>
    </comment>
    <comment ref="O5" authorId="0" shapeId="0" xr:uid="{00000000-0006-0000-0200-000013000000}">
      <text>
        <r>
          <rPr>
            <sz val="10"/>
            <color rgb="FF000000"/>
            <rFont val="Arial"/>
          </rPr>
          <t>It's all about Jesus: Christ is at the center
What would Christianity be without Christ? Where would the Christian faith be without Jesus our Savior?
Anyone can make rules, but that's not what the Christian faith is about. Jesus didn't come to be a new Moses, a new lawgiver. He came to bring grace and truth, forgiveness, life and salvation. Those things are found in only one place--in Christ our Savior!</t>
        </r>
      </text>
    </comment>
    <comment ref="P5" authorId="0" shapeId="0" xr:uid="{00000000-0006-0000-0200-000014000000}">
      <text>
        <r>
          <rPr>
            <sz val="10"/>
            <color rgb="FF000000"/>
            <rFont val="Arial"/>
          </rPr>
          <t>Almighty God, you sent your Son to proclaim your kingdom and to teach with authority. Anoint us with the power of your Spirit that we, too, may bring good news to the afflicted, bind up the brokenhearted, and proclaim liberty to the captive; through Jesus Christ, your Son, our Lord, who lives and reigns with you and the Holy Spirit, one God, now and forever.</t>
        </r>
      </text>
    </comment>
    <comment ref="Q5" authorId="0" shapeId="0" xr:uid="{00000000-0006-0000-0200-000015000000}">
      <text>
        <r>
          <rPr>
            <sz val="10"/>
            <color rgb="FF000000"/>
            <rFont val="Arial"/>
          </rPr>
          <t>Alleluia! Jesus went throughout Galilee, teaching, preaching, and healing every disease. Alleluia!</t>
        </r>
      </text>
    </comment>
    <comment ref="U5" authorId="0" shapeId="0" xr:uid="{00000000-0006-0000-0200-000016000000}">
      <text>
        <r>
          <rPr>
            <sz val="10"/>
            <color rgb="FF000000"/>
            <rFont val="Arial"/>
          </rPr>
          <t>The people walking in darkness have seen a great light.</t>
        </r>
      </text>
    </comment>
    <comment ref="V5" authorId="0" shapeId="0" xr:uid="{00000000-0006-0000-0200-000017000000}">
      <text>
        <r>
          <rPr>
            <sz val="10"/>
            <color rgb="FF000000"/>
            <rFont val="Arial"/>
          </rPr>
          <t>The only one Christians follow is Christ.</t>
        </r>
      </text>
    </comment>
    <comment ref="W5" authorId="0" shapeId="0" xr:uid="{00000000-0006-0000-0200-000018000000}">
      <text>
        <r>
          <rPr>
            <sz val="10"/>
            <color rgb="FF000000"/>
            <rFont val="Arial"/>
          </rPr>
          <t>Jesus reveals himself as the Messiah with power to help God's people.</t>
        </r>
      </text>
    </comment>
    <comment ref="O6" authorId="0" shapeId="0" xr:uid="{00000000-0006-0000-0200-000019000000}">
      <text>
        <r>
          <rPr>
            <sz val="10"/>
            <color rgb="FF000000"/>
            <rFont val="Arial"/>
          </rPr>
          <t>It's all about Jesus: Learning to walk in God's ways
In our Lutheran elementary school and Sunday school we teach children to walk in the Lord's ways. In our youth group we teach teens to walk in the paths that the Lord has laid out for us. All our Bible studies focus God's people on following Jesus and walking in God's ways.
Pursuing righteousness is not natural for a human being. Our sinful nature wants to rebel and seek its own way. In God's ways we find comfort and peace. St. Augustine said, "Lord, you made us for yourself, and our heart is restless until it rests in you."
Today we focus on the blessings of Christian education, as we learn more and more to know Jeus.</t>
        </r>
      </text>
    </comment>
    <comment ref="P6" authorId="0" shapeId="0" xr:uid="{00000000-0006-0000-0200-00001A000000}">
      <text>
        <r>
          <rPr>
            <sz val="10"/>
            <color rgb="FF000000"/>
            <rFont val="Arial"/>
          </rPr>
          <t xml:space="preserve">Almighty God, you give wisdom and knowledge.  Grant all those who teach the gift of joy and insight, and students the gift of diligence and openness, that all may grow in what is good and honest and true.  Support all who teach and all who learn, that together we may know and follow your ways; through Jesus Christ our Lord.  </t>
        </r>
      </text>
    </comment>
    <comment ref="Q6" authorId="0" shapeId="0" xr:uid="{00000000-0006-0000-0200-00001B000000}">
      <text>
        <r>
          <rPr>
            <sz val="10"/>
            <color rgb="FF000000"/>
            <rFont val="Arial"/>
          </rPr>
          <t>Alleluia! The Spirit of the Lord is on me; he has anointed me to preach good news. Alleluia!</t>
        </r>
      </text>
    </comment>
    <comment ref="U6" authorId="0" shapeId="0" xr:uid="{00000000-0006-0000-0200-00001C000000}">
      <text>
        <r>
          <rPr>
            <sz val="10"/>
            <color rgb="FF000000"/>
            <rFont val="Arial"/>
          </rPr>
          <t>In response to God's mercy, Israel rebelled against God and rejected his covenant.</t>
        </r>
      </text>
    </comment>
    <comment ref="V6" authorId="0" shapeId="0" xr:uid="{00000000-0006-0000-0200-00001D000000}">
      <text>
        <r>
          <rPr>
            <sz val="10"/>
            <color rgb="FF000000"/>
            <rFont val="Arial"/>
          </rPr>
          <t>God has chosen the foolish things of the world to shame the wise.</t>
        </r>
      </text>
    </comment>
    <comment ref="W6" authorId="0" shapeId="0" xr:uid="{00000000-0006-0000-0200-00001E000000}">
      <text>
        <r>
          <rPr>
            <sz val="10"/>
            <color rgb="FF000000"/>
            <rFont val="Arial"/>
          </rPr>
          <t>God blesses us in ways that the world finds strange.</t>
        </r>
      </text>
    </comment>
    <comment ref="O7" authorId="0" shapeId="0" xr:uid="{00000000-0006-0000-0200-00001F000000}">
      <text>
        <r>
          <rPr>
            <sz val="10"/>
            <color rgb="FF000000"/>
            <rFont val="Arial"/>
          </rPr>
          <t>It's all about Jesus: Consistency and sincerity
We confess Christ in two ways: (1) By what we say with our lips and (2) by what we do in our lives. Both our words and our actions testify to who we are and what is in our hearts.
As Christ-followers, we want our lips and our lives to honor our Savior. We want our worship of Jesus on Sunday to be consistent with our worship of Jesus throughout the week. We want to be the same person whether we are sitting in a pew, sitting at a desk, or out working in the world. We want to honor Jesus in sincerity and truth.</t>
        </r>
      </text>
    </comment>
    <comment ref="P7" authorId="0" shapeId="0" xr:uid="{00000000-0006-0000-0200-000020000000}">
      <text>
        <r>
          <rPr>
            <sz val="10"/>
            <color rgb="FF000000"/>
            <rFont val="Arial"/>
          </rPr>
          <t>Almighty God, you sent your one and only Son as the Word of life for our eyes to see and our ears to hear. Help us believe what the Scriptures proclaim about him and do the things that are pleasing in your sight; through Jesus Christ, your Son, our Lord, who lives and reigns with you and the Holy Spirit, one God, now and forever.</t>
        </r>
      </text>
    </comment>
    <comment ref="Q7" authorId="0" shapeId="0" xr:uid="{00000000-0006-0000-0200-000021000000}">
      <text>
        <r>
          <rPr>
            <sz val="10"/>
            <color rgb="FF000000"/>
            <rFont val="Arial"/>
          </rPr>
          <t>Alleluia! Jesus said, “I am the light of the world. Whoever follows me will never walk in darkness, but will have the light of life.” Alleluia!</t>
        </r>
      </text>
    </comment>
    <comment ref="U7" authorId="0" shapeId="0" xr:uid="{00000000-0006-0000-0200-000022000000}">
      <text>
        <r>
          <rPr>
            <sz val="10"/>
            <color rgb="FF000000"/>
            <rFont val="Arial"/>
          </rPr>
          <t>Going through the motions pretending to be religious and sincere is worthless hypocrisy.</t>
        </r>
      </text>
    </comment>
    <comment ref="V7" authorId="0" shapeId="0" xr:uid="{00000000-0006-0000-0200-000023000000}">
      <text>
        <r>
          <rPr>
            <sz val="10"/>
            <color rgb="FF000000"/>
            <rFont val="Arial"/>
          </rPr>
          <t>Our faith does not rest on human wisdom but on the Spirit's power.</t>
        </r>
      </text>
    </comment>
    <comment ref="W7" authorId="0" shapeId="0" xr:uid="{00000000-0006-0000-0200-000024000000}">
      <text>
        <r>
          <rPr>
            <sz val="10"/>
            <color rgb="FF000000"/>
            <rFont val="Arial"/>
          </rPr>
          <t>Christians are the salt of the earth and beacons of light in the world.</t>
        </r>
      </text>
    </comment>
    <comment ref="O8" authorId="0" shapeId="0" xr:uid="{00000000-0006-0000-0200-000025000000}">
      <text>
        <r>
          <rPr>
            <sz val="10"/>
            <color rgb="FF000000"/>
            <rFont val="Arial"/>
          </rPr>
          <t>It's all about Jesus: His Spirit gives wisdom
It is is said that the collective knowledge base of the human race doubles every few years. New discoveries and new technologies offer exciting prospects for the future.
But knowledge and wisdom are not the same thing. We can possess great information and not know what to do with it. We can have but a little information yet apply it wisely and well.
"The fear of the Lord is the beginning of wisdom, and knowledge of the Holy One is understanding." When we trust in Jesus and follow him, we enjoy the blessing of wisdom from above.</t>
        </r>
      </text>
    </comment>
    <comment ref="P8" authorId="0" shapeId="0" xr:uid="{00000000-0006-0000-0200-000026000000}">
      <text>
        <r>
          <rPr>
            <sz val="10"/>
            <color rgb="FF000000"/>
            <rFont val="Arial"/>
          </rPr>
          <t>Lord, in mercy receive the prayers of your people. Grant them the wisdom to know the things that please you and the grace and power always to accomplish them; through Jesus Christ, your Son, who lives and reigns with you and the Holy Spirit, one God, now and forever.</t>
        </r>
      </text>
    </comment>
    <comment ref="Q8" authorId="0" shapeId="0" xr:uid="{00000000-0006-0000-0200-000027000000}">
      <text>
        <r>
          <rPr>
            <sz val="10"/>
            <color rgb="FF000000"/>
            <rFont val="Arial"/>
          </rPr>
          <t>Alleluia! Lord, to whom shall we go? You have the words of eternal life. Alleluia!</t>
        </r>
      </text>
    </comment>
    <comment ref="U8" authorId="0" shapeId="0" xr:uid="{00000000-0006-0000-0200-000028000000}">
      <text>
        <r>
          <rPr>
            <sz val="10"/>
            <color rgb="FF000000"/>
            <rFont val="Arial"/>
          </rPr>
          <t>God instructed the Israelites to walk in the path of obedience and wisdom.</t>
        </r>
      </text>
    </comment>
    <comment ref="V8" authorId="0" shapeId="0" xr:uid="{00000000-0006-0000-0200-000029000000}">
      <text>
        <r>
          <rPr>
            <sz val="10"/>
            <color rgb="FF000000"/>
            <rFont val="Arial"/>
          </rPr>
          <t>God's Spirit reveals to us wisdom from above.</t>
        </r>
      </text>
    </comment>
    <comment ref="W8" authorId="0" shapeId="0" xr:uid="{00000000-0006-0000-0200-00002A000000}">
      <text>
        <r>
          <rPr>
            <sz val="10"/>
            <color rgb="FF000000"/>
            <rFont val="Arial"/>
          </rPr>
          <t>The law of God is not just about outward obedience but about obedience from the heart.</t>
        </r>
      </text>
    </comment>
    <comment ref="O9" authorId="0" shapeId="0" xr:uid="{00000000-0006-0000-0200-00002B000000}">
      <text>
        <r>
          <rPr>
            <sz val="10"/>
            <color rgb="FF000000"/>
            <rFont val="Arial"/>
          </rPr>
          <t>It's all about Jesus: The foundation of love
"Love God, love your neighbor." Jesus called these the greatest commandments. In fact, all of the commandments are easily summarized by the word "love."
For thousands of years believers who follow Jesus have been known for their deeds of kindness and love. Love is the hallmark of Christianity. When we live in Christ, we live in love, and his love is reflected in all we do.</t>
        </r>
      </text>
    </comment>
    <comment ref="P9" authorId="0" shapeId="0" xr:uid="{00000000-0006-0000-0200-00002C000000}">
      <text>
        <r>
          <rPr>
            <sz val="10"/>
            <color rgb="FF000000"/>
            <rFont val="Arial"/>
          </rPr>
          <t>Gracious Father, keep your family, the Church, always faithful to you, that we may lean on the hope of your promises and be strong in the power of your love; through your Son, Jesus Christ our Lord, who lives and reigns with you and the Holy Spirit, one God, now and forever.</t>
        </r>
      </text>
    </comment>
    <comment ref="Q9" authorId="0" shapeId="0" xr:uid="{00000000-0006-0000-0200-00002D000000}">
      <text>
        <r>
          <rPr>
            <sz val="10"/>
            <color rgb="FF000000"/>
            <rFont val="Arial"/>
          </rPr>
          <t>Alleluia! Be merciful, just as your Father is merciful. Alleluia!</t>
        </r>
      </text>
    </comment>
    <comment ref="U9" authorId="0" shapeId="0" xr:uid="{00000000-0006-0000-0200-00002E000000}">
      <text>
        <r>
          <rPr>
            <sz val="10"/>
            <color rgb="FF000000"/>
            <rFont val="Arial"/>
          </rPr>
          <t>Love your neighbor sincerely.</t>
        </r>
      </text>
    </comment>
    <comment ref="V9" authorId="0" shapeId="0" xr:uid="{00000000-0006-0000-0200-00002F000000}">
      <text>
        <r>
          <rPr>
            <sz val="10"/>
            <color rgb="FF000000"/>
            <rFont val="Arial"/>
          </rPr>
          <t>You are God's temple, and his Spirit lives in you.</t>
        </r>
      </text>
    </comment>
    <comment ref="W9" authorId="0" shapeId="0" xr:uid="{00000000-0006-0000-0200-000030000000}">
      <text>
        <r>
          <rPr>
            <sz val="10"/>
            <color rgb="FF000000"/>
            <rFont val="Arial"/>
          </rPr>
          <t>It's easy to love those who love us in return, but Jesus tells us to love our enemies.</t>
        </r>
      </text>
    </comment>
    <comment ref="O10" authorId="0" shapeId="0" xr:uid="{00000000-0006-0000-0200-000031000000}">
      <text>
        <r>
          <rPr>
            <sz val="10"/>
            <color rgb="FF000000"/>
            <rFont val="Arial"/>
          </rPr>
          <t>It's all about Jesus: In the presence of God
Being in God's presence can either be joyful or terrifying. It all depends on what our relationship is with God.
Jesus brings us into God's presence to meet our loving Father. Jesus has removed the barrier of our sins that separated us from God and made us his enemies, and now Jesus ushers us into God's presence without fear, and with the promise of blessing. God says of Jesus, "This is my Son, whom I love. Listen to him!"</t>
        </r>
      </text>
    </comment>
    <comment ref="P10" authorId="0" shapeId="0" xr:uid="{00000000-0006-0000-0200-000032000000}">
      <text>
        <r>
          <rPr>
            <sz val="10"/>
            <color rgb="FF000000"/>
            <rFont val="Arial"/>
          </rPr>
          <t>Lord God, before the suffering and death of your one and only Son, you revealed his glory on the holy mountain. Grant that we who bear his cross on earth may behold by faith the light of his heavenly glory and so be changed into his likeness; through Jesus Christ our Lord, who lives and reigns with you and the Holy Spirit, one God, now and forever.</t>
        </r>
      </text>
    </comment>
    <comment ref="Q10" authorId="0" shapeId="0" xr:uid="{00000000-0006-0000-0200-000033000000}">
      <text>
        <r>
          <rPr>
            <sz val="10"/>
            <color rgb="FF000000"/>
            <rFont val="Arial"/>
          </rPr>
          <t>Alleluia! A voice came from the cloud: “This is my Son, whom I love. Listen to him.” Alleluia!</t>
        </r>
      </text>
    </comment>
    <comment ref="U10" authorId="0" shapeId="0" xr:uid="{00000000-0006-0000-0200-000034000000}">
      <text>
        <r>
          <rPr>
            <sz val="10"/>
            <color rgb="FF000000"/>
            <rFont val="Arial"/>
          </rPr>
          <t>Moses was in God's presence on Mount Sinai.</t>
        </r>
      </text>
    </comment>
    <comment ref="V10" authorId="0" shapeId="0" xr:uid="{00000000-0006-0000-0200-000035000000}">
      <text>
        <r>
          <rPr>
            <sz val="10"/>
            <color rgb="FF000000"/>
            <rFont val="Arial"/>
          </rPr>
          <t>The disciples were eyewitnesses of Jesus' majesty and glory on the Mountain of Transfiguration.</t>
        </r>
      </text>
    </comment>
    <comment ref="W10" authorId="0" shapeId="0" xr:uid="{00000000-0006-0000-0200-000036000000}">
      <text>
        <r>
          <rPr>
            <sz val="10"/>
            <color rgb="FF000000"/>
            <rFont val="Arial"/>
          </rPr>
          <t>Jesus was transfigured in the presence of the Father, and the disciples also basked in his glory.</t>
        </r>
      </text>
    </comment>
    <comment ref="O11" authorId="0" shapeId="0" xr:uid="{00000000-0006-0000-0200-000037000000}">
      <text>
        <r>
          <rPr>
            <sz val="10"/>
            <color rgb="FF000000"/>
            <rFont val="Arial"/>
          </rPr>
          <t>Repent: Turn to Jesus and not yourself
We are taught to be self-reliant problem solvers. We are taught to trust our own initiative and insight to fix things that are broken. But there are some problems that are beyond our reach and that we are unable to solve.
We can't fix our sins. We can't remove our own guilt. We can't compensate for our own evil behavior. We can't thwart death. Our only hope lies outside ourselves. In repentance we despair of every solution we could offer, and we look to the solution God has provided: his own Son, our Savior Jesus.</t>
        </r>
      </text>
    </comment>
    <comment ref="U11" authorId="0" shapeId="0" xr:uid="{00000000-0006-0000-0200-000038000000}">
      <text>
        <r>
          <rPr>
            <sz val="10"/>
            <color rgb="FF000000"/>
            <rFont val="Arial"/>
          </rPr>
          <t>God accomplished for us what we could not do for ourselves: He won salvation.</t>
        </r>
      </text>
    </comment>
    <comment ref="V11" authorId="0" shapeId="0" xr:uid="{00000000-0006-0000-0200-000039000000}">
      <text>
        <r>
          <rPr>
            <sz val="10"/>
            <color rgb="FF000000"/>
            <rFont val="Arial"/>
          </rPr>
          <t>Turn to the Lord and find free salvation.</t>
        </r>
      </text>
    </comment>
    <comment ref="W11" authorId="0" shapeId="0" xr:uid="{00000000-0006-0000-0200-00003A000000}">
      <text>
        <r>
          <rPr>
            <sz val="10"/>
            <color rgb="FF000000"/>
            <rFont val="Arial"/>
          </rPr>
          <t>The Pharisee relied on himself. The tax collector despaired of himself and turned to the Lord for mercy and forgiveness.</t>
        </r>
      </text>
    </comment>
    <comment ref="O12" authorId="0" shapeId="0" xr:uid="{00000000-0006-0000-0200-00003B000000}">
      <text>
        <r>
          <rPr>
            <sz val="10"/>
            <color rgb="FF000000"/>
            <rFont val="Arial"/>
          </rPr>
          <t>The road to victory: Sin is undone by obedience
Adam's sin plunged himself and the whole world into darkness and destruction. He had one command to obey, and he failed. His sin brought death upon all people.
Jesus' obedience restored life and immortality through the Good News. Jesus was born to obey the entire law of God, and he never failed at any point. His perfect obedience is credited to us as we trust in him and receive his grace.</t>
        </r>
      </text>
    </comment>
    <comment ref="P12" authorId="0" shapeId="0" xr:uid="{00000000-0006-0000-0200-00003C000000}">
      <text>
        <r>
          <rPr>
            <sz val="10"/>
            <color rgb="FF000000"/>
            <rFont val="Arial"/>
          </rPr>
          <t>Lord our strength, the battle of good and evil rages within and around us, and our ancient foe tempts us with his deceits and empty promises. Keep us steadfast in your Word, and when we fall, raise us up again and restore us through your Son, Jesus Christ our Lord, who lives and reigns with you and the Holy Spirit, one God, now and forever.</t>
        </r>
      </text>
    </comment>
    <comment ref="Q12" authorId="0" shapeId="0" xr:uid="{00000000-0006-0000-0200-00003D000000}">
      <text>
        <r>
          <rPr>
            <sz val="10"/>
            <color rgb="FF000000"/>
            <rFont val="Arial"/>
          </rPr>
          <t xml:space="preserve">It is written: “Worship the Lord your God, and serve him only.” </t>
        </r>
      </text>
    </comment>
    <comment ref="U12" authorId="0" shapeId="0" xr:uid="{00000000-0006-0000-0200-00003E000000}">
      <text>
        <r>
          <rPr>
            <sz val="10"/>
            <color rgb="FF000000"/>
            <rFont val="Arial"/>
          </rPr>
          <t>Adam and Eve's disobedience to God's command plunged the world into darkness and death.</t>
        </r>
      </text>
    </comment>
    <comment ref="V12" authorId="0" shapeId="0" xr:uid="{00000000-0006-0000-0200-00003F000000}">
      <text>
        <r>
          <rPr>
            <sz val="10"/>
            <color rgb="FF000000"/>
            <rFont val="Arial"/>
          </rPr>
          <t>Sin came into the world by one man, Adam. Sin was overcome by the obedience of one man, Jesus Christ.</t>
        </r>
      </text>
    </comment>
    <comment ref="W12" authorId="0" shapeId="0" xr:uid="{00000000-0006-0000-0200-000040000000}">
      <text>
        <r>
          <rPr>
            <sz val="10"/>
            <color rgb="FF000000"/>
            <rFont val="Arial"/>
          </rPr>
          <t>Jesus overcame every temptation with perfect obedience.</t>
        </r>
      </text>
    </comment>
    <comment ref="Y12" authorId="0" shapeId="0" xr:uid="{00000000-0006-0000-0200-000041000000}">
      <text>
        <r>
          <rPr>
            <sz val="10"/>
            <color rgb="FF000000"/>
            <rFont val="Arial"/>
          </rPr>
          <t>The choir will introduce hymn 754 by singing the first stanza.</t>
        </r>
      </text>
    </comment>
    <comment ref="O13" authorId="0" shapeId="0" xr:uid="{00000000-0006-0000-0200-000042000000}">
      <text>
        <r>
          <rPr>
            <sz val="10"/>
            <color rgb="FF000000"/>
            <rFont val="Arial"/>
          </rPr>
          <t>Repent: Turn to Jesus; He changes your life
People can change for the worse. Unhealthy choices, bad company, sinful lifestyles can lead a person into a downward spiral of negative changes.
Jesus changes our lives for the better. He replaces sorrow with joy, sin with forgiveness, guilt with peace, death with life, despair with hope. How wonderfully Jesus transforms through repentance and faith into people whose hopes are grounded in Jesus and whose lives are changed for the better!</t>
        </r>
      </text>
    </comment>
    <comment ref="U13" authorId="0" shapeId="0" xr:uid="{00000000-0006-0000-0200-000043000000}">
      <text>
        <r>
          <rPr>
            <sz val="10"/>
            <color rgb="FF000000"/>
            <rFont val="Arial"/>
          </rPr>
          <t>Jesus eats the Passover with his disciples and institutes the Lord's Supper.</t>
        </r>
      </text>
    </comment>
    <comment ref="O14" authorId="0" shapeId="0" xr:uid="{00000000-0006-0000-0200-000044000000}">
      <text>
        <r>
          <rPr>
            <sz val="10"/>
            <color rgb="FF000000"/>
            <rFont val="Arial"/>
          </rPr>
          <t>The road to victory: Faith triumphs over unbelief
"Abraham believed God, and it was credited to him as righteousness." Surrounded by unbelief, Abraham trusted God's promise that a Savior for all mankind would come from his descendants.
We are surrounded by an unbelieving world, but our trust in Jesus and his victory shines like a beacon in a lost world, pointing others to trust in their Savior.</t>
        </r>
      </text>
    </comment>
    <comment ref="P14" authorId="0" shapeId="0" xr:uid="{00000000-0006-0000-0200-000045000000}">
      <text>
        <r>
          <rPr>
            <sz val="10"/>
            <color rgb="FF000000"/>
            <rFont val="Arial"/>
          </rPr>
          <t>Almighty God, you see that we have no power to defend ourselves. Guard and keep us both outwardly and inwardly from all adversities that may happen to the body and from all evil thoughts that may assault and hurt the soul; through Jesus Christ our Lord, who lives and reigns with you and the Holy Spirit, one God, now and forever.</t>
        </r>
      </text>
    </comment>
    <comment ref="Q14" authorId="0" shapeId="0" xr:uid="{00000000-0006-0000-0200-000046000000}">
      <text>
        <r>
          <rPr>
            <sz val="10"/>
            <color rgb="FF000000"/>
            <rFont val="Arial"/>
          </rPr>
          <t>Jesus humbled himself and became obedient to death, even death on a cross.</t>
        </r>
      </text>
    </comment>
    <comment ref="U14" authorId="0" shapeId="0" xr:uid="{00000000-0006-0000-0200-000047000000}">
      <text>
        <r>
          <rPr>
            <sz val="10"/>
            <color rgb="FF000000"/>
            <rFont val="Arial"/>
          </rPr>
          <t>Abram trusted in God and relied on his promises.</t>
        </r>
      </text>
    </comment>
    <comment ref="V14" authorId="0" shapeId="0" xr:uid="{00000000-0006-0000-0200-000048000000}">
      <text>
        <r>
          <rPr>
            <sz val="10"/>
            <color rgb="FF000000"/>
            <rFont val="Arial"/>
          </rPr>
          <t>Abraham believed God, and it was credited to him as righteousness.</t>
        </r>
      </text>
    </comment>
    <comment ref="W14" authorId="0" shapeId="0" xr:uid="{00000000-0006-0000-0200-000049000000}">
      <text>
        <r>
          <rPr>
            <sz val="10"/>
            <color rgb="FF000000"/>
            <rFont val="Arial"/>
          </rPr>
          <t>The woman at Jacob's well met Jesus and believed in him as the promised Messiah.</t>
        </r>
      </text>
    </comment>
    <comment ref="O15" authorId="0" shapeId="0" xr:uid="{00000000-0006-0000-0200-00004A000000}">
      <text>
        <r>
          <rPr>
            <sz val="10"/>
            <color rgb="FF000000"/>
            <rFont val="Arial"/>
          </rPr>
          <t>Repent: Turn to Jesus when you face temptations
A temptation is a "test." It's a time when we're stretched and torn, sometimes to the limit, sometimes even to the breaking point.
We want to withstand the tests of Satan, the world around us, and our own corrupt flesh, because we want to honor Jesus with thankful lives of obedience. We want to do what pleases him, because we want to honor him.
Jesus was tested in every way, yet he never fell. If we rely on our own strength to stand firm in the face of temptation we will inevitably fall. When we seek refuge in Jesus' passion and hide in his wounds, we are safe from the temptations that swirl around us.</t>
        </r>
      </text>
    </comment>
    <comment ref="U15" authorId="0" shapeId="0" xr:uid="{00000000-0006-0000-0200-00004B000000}">
      <text>
        <r>
          <rPr>
            <sz val="10"/>
            <color rgb="FF000000"/>
            <rFont val="Arial"/>
          </rPr>
          <t>Jesus prays in the Garden of Gethsemane. He is betrayed by Judas and arrested.</t>
        </r>
      </text>
    </comment>
    <comment ref="Y15" authorId="0" shapeId="0" xr:uid="{00000000-0006-0000-0200-00004C000000}">
      <text>
        <r>
          <rPr>
            <sz val="10"/>
            <color rgb="FF000000"/>
            <rFont val="Arial"/>
          </rPr>
          <t>Sing 126 antiphonally (font/lectern). All sing last stanza.</t>
        </r>
      </text>
    </comment>
    <comment ref="O16" authorId="0" shapeId="0" xr:uid="{00000000-0006-0000-0200-00004D000000}">
      <text>
        <r>
          <rPr>
            <sz val="10"/>
            <color rgb="FF000000"/>
            <rFont val="Arial"/>
          </rPr>
          <t>The road to victory: Light pierces the darkness
Spiritual blindness is a dreadful condition. In such a state, a person is so unseeing that they do not even recognize how blind they are.
Jesus pierces the darkness of spiritual blindness with his light of truth. He opens the eyes of the blind, brings comfort to those living in the shadow of death, and fills our eyes, our hearts, and our whole lives with the glorious light of his presence. In Jesus, darkness and blindness are overcome, and light and hope take their place.</t>
        </r>
      </text>
    </comment>
    <comment ref="P16" authorId="0" shapeId="0" xr:uid="{00000000-0006-0000-0200-00004E000000}">
      <text>
        <r>
          <rPr>
            <sz val="10"/>
            <color rgb="FF000000"/>
            <rFont val="Arial"/>
          </rPr>
          <t>Almighty God, look with favor on your humble servants and stretch out the right hand of your power to defend us against all our enemies; through Jesus Christ, your Son, our Lord, who lives and reigns with you and the Holy Spirit, one God, now and forever.</t>
        </r>
      </text>
    </comment>
    <comment ref="Q16" authorId="0" shapeId="0" xr:uid="{00000000-0006-0000-0200-00004F000000}">
      <text>
        <r>
          <rPr>
            <sz val="10"/>
            <color rgb="FF000000"/>
            <rFont val="Arial"/>
          </rPr>
          <t xml:space="preserve">Just as Moses lifted up the snake in the desert, so the Son of Man must be lifted up, that everyone who believes in him may have eternal life. </t>
        </r>
      </text>
    </comment>
    <comment ref="U16" authorId="0" shapeId="0" xr:uid="{00000000-0006-0000-0200-000050000000}">
      <text>
        <r>
          <rPr>
            <sz val="10"/>
            <color rgb="FF000000"/>
            <rFont val="Arial"/>
          </rPr>
          <t>God opens the eyes of the blind and turns darkness into light.</t>
        </r>
      </text>
    </comment>
    <comment ref="V16" authorId="0" shapeId="0" xr:uid="{00000000-0006-0000-0200-000051000000}">
      <text>
        <r>
          <rPr>
            <sz val="10"/>
            <color rgb="FF000000"/>
            <rFont val="Arial"/>
          </rPr>
          <t>Christians walk in the light of faith and truth, not the darkness of unbelief and disobedience.</t>
        </r>
      </text>
    </comment>
    <comment ref="W16" authorId="0" shapeId="0" xr:uid="{00000000-0006-0000-0200-000052000000}">
      <text>
        <r>
          <rPr>
            <sz val="10"/>
            <color rgb="FF000000"/>
            <rFont val="Arial"/>
          </rPr>
          <t>Jesus gives sight to the blind, both physically and spiritually.</t>
        </r>
      </text>
    </comment>
    <comment ref="O17" authorId="0" shapeId="0" xr:uid="{00000000-0006-0000-0200-000053000000}">
      <text>
        <r>
          <rPr>
            <sz val="10"/>
            <color rgb="FF000000"/>
            <rFont val="Arial"/>
          </rPr>
          <t>Repent: Turn to Jesus; Do not turn away
Did Judas skim one shekel from the money bag before he schemed to skim two? How did he get to the point where he was regularly helping himself to the disciples' collective funds? And all while hearing Jesus teach and seeing Jesus' miracles! In his love for money, Judas turned away from Jesus.
At what price can your soul be bought? What would induce you to turn away from Jesus? Tonight we pray that the Lord would give us humble and penitent hearts, that we always see our sins and always turn to Jesus--never away from him--for grace and forgiveness.</t>
        </r>
      </text>
    </comment>
    <comment ref="U17" authorId="0" shapeId="0" xr:uid="{00000000-0006-0000-0200-000054000000}">
      <text>
        <r>
          <rPr>
            <sz val="10"/>
            <color rgb="FF000000"/>
            <rFont val="Arial"/>
          </rPr>
          <t>In the middle of the night Jesus is placed on trial before the high priest and the Jewish ruling council.</t>
        </r>
      </text>
    </comment>
    <comment ref="O18" authorId="0" shapeId="0" xr:uid="{00000000-0006-0000-0200-000055000000}">
      <text>
        <r>
          <rPr>
            <sz val="10"/>
            <color rgb="FF000000"/>
            <rFont val="Arial"/>
          </rPr>
          <t>The road to victory: The flesh yields to the Spirit
[Use Galatians 5:19-23 for the sidebar]
Fleshly desires succumb to temptations of the flesh: immorality, debauchery, gossip, greed. The flesh wants to indulge every base urge, act out every passion, feed every desire, and gratify every selfish pleasure. Those controlled by the sinful nature cannot please God.
This was our natural state as natural creatures born of flesh. The Holy Spirit overcomes our carnal flesh by planting in us a new heart and making us a new creation of God. The Spirit lives in us and works through us. Filled with the Spirit, with thankful hearts to Jesus, and with lives devoted to serving our Savior, we produce the unselfish fruit of righteousness to the glory of God and for the good of our neighbor.</t>
        </r>
      </text>
    </comment>
    <comment ref="P18" authorId="0" shapeId="0" xr:uid="{00000000-0006-0000-0200-000056000000}">
      <text>
        <r>
          <rPr>
            <sz val="10"/>
            <color rgb="FF000000"/>
            <rFont val="Arial"/>
          </rPr>
          <t>Almighty God, we confess that we deserve to be punished for our evil deeds. But we ask you graciously to cleanse us from all sin and to comfort us with your salvation; through your Son, Jesus Christ our Lord, who lives and reigns with you and the Holy Spirit, one God, now and forever.</t>
        </r>
      </text>
    </comment>
    <comment ref="Q18" authorId="0" shapeId="0" xr:uid="{00000000-0006-0000-0200-000057000000}">
      <text>
        <r>
          <rPr>
            <sz val="10"/>
            <color rgb="FF000000"/>
            <rFont val="Arial"/>
          </rPr>
          <t xml:space="preserve">For God so loved the world that he gave his one and only Son, that whoever believes in him shall not perish but have eternal life. </t>
        </r>
      </text>
    </comment>
    <comment ref="U18" authorId="0" shapeId="0" xr:uid="{00000000-0006-0000-0200-000058000000}">
      <text>
        <r>
          <rPr>
            <sz val="10"/>
            <color rgb="FF000000"/>
            <rFont val="Arial"/>
          </rPr>
          <t>Guilt drives people to seek the Lord and find forgiveness.</t>
        </r>
      </text>
    </comment>
    <comment ref="V18" authorId="0" shapeId="0" xr:uid="{00000000-0006-0000-0200-000059000000}">
      <text>
        <r>
          <rPr>
            <sz val="10"/>
            <color rgb="FF000000"/>
            <rFont val="Arial"/>
          </rPr>
          <t>The sinful flesh is overcome by the working of the Holy Spirit.</t>
        </r>
      </text>
    </comment>
    <comment ref="W18" authorId="0" shapeId="0" xr:uid="{00000000-0006-0000-0200-00005A000000}">
      <text>
        <r>
          <rPr>
            <sz val="10"/>
            <color rgb="FF000000"/>
            <rFont val="Arial"/>
          </rPr>
          <t>The sinful flesh seeks glory for self. The fruit of the Spirit is humility and service to others.</t>
        </r>
      </text>
    </comment>
    <comment ref="O19" authorId="0" shapeId="0" xr:uid="{00000000-0006-0000-0200-00005B000000}">
      <text>
        <r>
          <rPr>
            <sz val="10"/>
            <color rgb="FF000000"/>
            <rFont val="Arial"/>
          </rPr>
          <t>Repent: Turn to Jesus; He holds the keys to heaven
Jesus appeared neither noble nor powerful as he hung on the cross. He was beaten, bruised, humiliated, spattered in blood and covered in shame.
Yet to the man at the center of this gruesome spectacle the dying thief turned. He addressed him as his King, and he pleaded, "Remember me when you come into your kingdom."
Turn to Jesus! In life and in death, repent and turn to Jesus, for he alone holds the key to heaven.</t>
        </r>
      </text>
    </comment>
    <comment ref="U19" authorId="0" shapeId="0" xr:uid="{00000000-0006-0000-0200-00005C000000}">
      <text>
        <r>
          <rPr>
            <sz val="10"/>
            <color rgb="FF000000"/>
            <rFont val="Arial"/>
          </rPr>
          <t>Jesus is turned over to the Roman governor, Pontius Pilate, for trial and sentencing.</t>
        </r>
      </text>
    </comment>
    <comment ref="O20" authorId="0" shapeId="0" xr:uid="{00000000-0006-0000-0200-00005D000000}">
      <text>
        <r>
          <rPr>
            <sz val="10"/>
            <color rgb="FF000000"/>
            <rFont val="Arial"/>
          </rPr>
          <t>The road to victory: Life triumphs over death
[Use 1 Cor 15:54b-57 for bulletin sidebar]
Every human being ever born has entered this world under a death sentence. Every human being is only a ticking clock whose time on earth will sooner or later end in death.
into this world enslaved by death the Son of God entered with the power to give life. Jesus breathed life into corpses and gave the dead back to their loved ones. This his death he restored life and immortality. He is the resurrection and the life, and whoever believes in him has crossed over from death to life.</t>
        </r>
      </text>
    </comment>
    <comment ref="P20" authorId="0" shapeId="0" xr:uid="{00000000-0006-0000-0200-00005E000000}">
      <text>
        <r>
          <rPr>
            <sz val="10"/>
            <color rgb="FF000000"/>
            <rFont val="Arial"/>
          </rPr>
          <t>Eternal God and Father, help us to remember Jesus, who obeyed your will and bore the cross for our salvation that through his anguish, pain, and death we may receive forgiveness of sins and inherit eternal life; through your Son, Jesus Christ our Lord, who lives and reigns with you and the Holy Spirit, one God, now and forever.</t>
        </r>
      </text>
    </comment>
    <comment ref="Q20" authorId="0" shapeId="0" xr:uid="{00000000-0006-0000-0200-00005F000000}">
      <text>
        <r>
          <rPr>
            <sz val="10"/>
            <color rgb="FF000000"/>
            <rFont val="Arial"/>
          </rPr>
          <t xml:space="preserve">The Son of Man did not come to be served, but to serve, and to give his life as a ransom for many. </t>
        </r>
      </text>
    </comment>
    <comment ref="U20" authorId="0" shapeId="0" xr:uid="{00000000-0006-0000-0200-000060000000}">
      <text>
        <r>
          <rPr>
            <sz val="10"/>
            <color rgb="FF000000"/>
            <rFont val="Arial"/>
          </rPr>
          <t>The nation of Israel appeared to be dried up and dead, but God breathed new life, and his people flourished again.</t>
        </r>
      </text>
    </comment>
    <comment ref="V20" authorId="0" shapeId="0" xr:uid="{00000000-0006-0000-0200-000061000000}">
      <text>
        <r>
          <rPr>
            <sz val="10"/>
            <color rgb="FF000000"/>
            <rFont val="Arial"/>
          </rPr>
          <t>The Spirit of God not only infuses us with life now, he will fill us again with life when he raises us up on the Last Day.</t>
        </r>
      </text>
    </comment>
    <comment ref="W20" authorId="0" shapeId="0" xr:uid="{00000000-0006-0000-0200-000062000000}">
      <text>
        <r>
          <rPr>
            <sz val="10"/>
            <color rgb="FF000000"/>
            <rFont val="Arial"/>
          </rPr>
          <t>Jesus is the resurrection and the life, with all power over death.</t>
        </r>
      </text>
    </comment>
    <comment ref="O21" authorId="0" shapeId="0" xr:uid="{00000000-0006-0000-0200-000063000000}">
      <text>
        <r>
          <rPr>
            <sz val="10"/>
            <color rgb="FF000000"/>
            <rFont val="Arial"/>
          </rPr>
          <t>Repent: Turn to Jesus; He longs to forgive you
It could not have been more humiliating. The soldiers nailed his body to the cross. They stripped him. Then they gambled away his clothing in front of his very eyes. In such degradation and shame our Savior spent his final hours on the cross.
Yet from his gracious lips we hear these words; "Father, forgive them!" Jesus' love embraced even the soldiers who crucified. His ardent desire was that they too would repent and find forgiveness in the one they had spit upon and cursed.
Turn to Jesus! Your sins are not so great that you are shut out from God's grace. Your evil deeds have not separated you from his love. He holds you in his heart, and he longs to forgive you.</t>
        </r>
      </text>
    </comment>
    <comment ref="U21" authorId="0" shapeId="0" xr:uid="{00000000-0006-0000-0200-000064000000}">
      <text>
        <r>
          <rPr>
            <sz val="10"/>
            <color rgb="FF000000"/>
            <rFont val="Arial"/>
          </rPr>
          <t>Jesus is crucified at Calvary for the sin of the world.</t>
        </r>
      </text>
    </comment>
    <comment ref="O22" authorId="0" shapeId="0" xr:uid="{00000000-0006-0000-0200-000065000000}">
      <text>
        <r>
          <rPr>
            <sz val="10"/>
            <color rgb="FF000000"/>
            <rFont val="Arial"/>
          </rPr>
          <t>The road to victory: Humility leads to the final battle and the final conquest
[Sidebar: He humbled himself and became obedient to death, even death on a cross (Philippians 2:8)]
Jesus entered Jerusalem in humility. He rode in on a donkey, in fulfillment of Zechariah's prophecy. The crowds shouted their Hosannas on Palm Sunday, but on Good Friday the shouts turned to "Crucify him!"
Jesus knew what awaited him in Jerusalem. He would be crowned with thorns and lifted up on a cross to die a shameful, humiliating death. Yet through his humble suffering and agony he would win the ultimate victory--death defeated, life for all, heaven opened, paradise restored!</t>
        </r>
      </text>
    </comment>
    <comment ref="P22" authorId="0" shapeId="0" xr:uid="{00000000-0006-0000-0200-000066000000}">
      <text>
        <r>
          <rPr>
            <sz val="10"/>
            <color rgb="FF000000"/>
            <rFont val="Arial"/>
          </rPr>
          <t>We praise you, O God, for the great acts of love by which you have redeemed us through your Son, Jesus Christ. As he was acclaimed by those who scattered their garments and branches of palms in his path, so may we always hail him as our King and follow him with perfect confidence; who lives and reigns with you and the Holy Spirit, one God, now and forever.</t>
        </r>
      </text>
    </comment>
    <comment ref="Q22" authorId="0" shapeId="0" xr:uid="{00000000-0006-0000-0200-000067000000}">
      <text>
        <r>
          <rPr>
            <sz val="10"/>
            <color rgb="FF000000"/>
            <rFont val="Arial"/>
          </rPr>
          <t xml:space="preserve">The hour has come for the Son of Man to be glorified. </t>
        </r>
      </text>
    </comment>
    <comment ref="U22" authorId="0" shapeId="0" xr:uid="{00000000-0006-0000-0200-000068000000}">
      <text>
        <r>
          <rPr>
            <sz val="10"/>
            <color rgb="FF000000"/>
            <rFont val="Arial"/>
          </rPr>
          <t>Zechariah prophesied Jesus' entrance on Palm Sunday.</t>
        </r>
      </text>
    </comment>
    <comment ref="V22" authorId="0" shapeId="0" xr:uid="{00000000-0006-0000-0200-000069000000}">
      <text>
        <r>
          <rPr>
            <sz val="10"/>
            <color rgb="FF000000"/>
            <rFont val="Arial"/>
          </rPr>
          <t>Jesus was humiliated, so that he could be exalted. In humility we walk in Jesus' steps.</t>
        </r>
      </text>
    </comment>
    <comment ref="W22" authorId="0" shapeId="0" xr:uid="{00000000-0006-0000-0200-00006A000000}">
      <text>
        <r>
          <rPr>
            <sz val="10"/>
            <color rgb="FF000000"/>
            <rFont val="Arial"/>
          </rPr>
          <t>Jesus rode into Jerusalem in fulfillment of the Old Testament prophesies.</t>
        </r>
      </text>
    </comment>
    <comment ref="O23" authorId="0" shapeId="0" xr:uid="{00000000-0006-0000-0200-00006B000000}">
      <text>
        <r>
          <rPr>
            <sz val="10"/>
            <color rgb="FF000000"/>
            <rFont val="Arial"/>
          </rPr>
          <t>The road to victory: Strength for the journey
On Maundy Thursday Jesus established a new covenant. The old covenant, with its sacrifices and ceremonies, was about to be superseded by Jesus' final sacrifice on the cross. The new covenant offered free forgiveness in the spilled blood of Christ and salvation for all.
As a sign of the new covenant, Jesus instituted the sacrament of Holy Communion. In, with, and under the bread and wine Jesus gives us his real body and blood for the forgiveness of our sins and the strengthening of our faith.
As we commune at the Lord's table with penitent hearts sincerely desiring God's forgiveness, we are strengthened in our faith and our love. God's holy food gives us strength for our earthly journey until we finally feast with him in heaven.</t>
        </r>
      </text>
    </comment>
    <comment ref="P23" authorId="0" shapeId="0" xr:uid="{00000000-0006-0000-0200-00006C000000}">
      <text>
        <r>
          <rPr>
            <sz val="10"/>
            <color rgb="FF000000"/>
            <rFont val="Arial"/>
          </rPr>
          <t>Lord Jesus Christ, in the sacrament of Holy Communion you give us your true body and blood as a remembrance of your suffering and death on the cross. Grant us so firmly to believe your words and promise that we may always partake of this sacrament to our eternal good; for you live and reign with the Father and the Holy Spirit, one God, now and forever.</t>
        </r>
      </text>
    </comment>
    <comment ref="Q23" authorId="0" shapeId="0" xr:uid="{00000000-0006-0000-0200-00006D000000}">
      <text>
        <r>
          <rPr>
            <sz val="10"/>
            <color rgb="FF000000"/>
            <rFont val="Arial"/>
          </rPr>
          <t>As often as you eat this bread and drink the cup, you proclaim the Lord's death until he comes.</t>
        </r>
      </text>
    </comment>
    <comment ref="U23" authorId="0" shapeId="0" xr:uid="{00000000-0006-0000-0200-00006E000000}">
      <text>
        <r>
          <rPr>
            <sz val="10"/>
            <color rgb="FF000000"/>
            <rFont val="Arial"/>
          </rPr>
          <t>The Passover was a lasting ordinance to remember God's deliverance from bondage in Egypt.</t>
        </r>
      </text>
    </comment>
    <comment ref="V23" authorId="0" shapeId="0" xr:uid="{00000000-0006-0000-0200-00006F000000}">
      <text>
        <r>
          <rPr>
            <sz val="10"/>
            <color rgb="FF000000"/>
            <rFont val="Arial"/>
          </rPr>
          <t>Holy Communion looks back and remembers Jesus' death, and it looks forward to the final banquet in heaven.</t>
        </r>
      </text>
    </comment>
    <comment ref="W23" authorId="0" shapeId="0" xr:uid="{00000000-0006-0000-0200-000070000000}">
      <text>
        <r>
          <rPr>
            <sz val="10"/>
            <color rgb="FF000000"/>
            <rFont val="Arial"/>
          </rPr>
          <t>Jesus washes his disciples' feet.</t>
        </r>
      </text>
    </comment>
    <comment ref="O24" authorId="0" shapeId="0" xr:uid="{00000000-0006-0000-0200-000071000000}">
      <text>
        <r>
          <rPr>
            <sz val="10"/>
            <color rgb="FF000000"/>
            <rFont val="Arial"/>
          </rPr>
          <t>The road to victory: It is finished!
Victory requires sacrifice. The ultimate victory over sin, death, Satan, and all the powers of hell required the ultimate sacrifice.
Crucifixion was a dreadful way to die, but Jesus' suffering was more than physical. The Bible says, "It is a dreadful thing to fall into the hands of the living God," and Jesus fell under the dreadful wrath of God, as he carried the sin of the world as our substitute and Savior.
In the end the sacrifice was complete, the infinite payment was sufficient to atone for guilt, and the victory was won. "It is finished!" Jesus cried out from the cross. "Paid in full!"</t>
        </r>
      </text>
    </comment>
    <comment ref="P24" authorId="0" shapeId="0" xr:uid="{00000000-0006-0000-0200-000072000000}">
      <text>
        <r>
          <rPr>
            <sz val="10"/>
            <color rgb="FF000000"/>
            <rFont val="Arial"/>
          </rPr>
          <t>God Most Holy, look with mercy on this your family for whom our Lord Jesus Christ was willing to be betrayed, be given over into the hands of the wicked, and suffer death upon the cross. Keep us always faithful to him, our only Savior, who now lives and reigns with you and the Holy Spirit, one God, forever and ever.</t>
        </r>
      </text>
    </comment>
    <comment ref="Q24" authorId="0" shapeId="0" xr:uid="{00000000-0006-0000-0200-000073000000}">
      <text>
        <r>
          <rPr>
            <sz val="10"/>
            <color rgb="FF000000"/>
            <rFont val="Arial"/>
          </rPr>
          <t>Surely he took up our infirmities and carried our sorrows, yet we considered him stricken by God, smitten by him, and afflicted.</t>
        </r>
      </text>
    </comment>
    <comment ref="U24" authorId="0" shapeId="0" xr:uid="{00000000-0006-0000-0200-000074000000}">
      <text>
        <r>
          <rPr>
            <sz val="10"/>
            <color rgb="FF000000"/>
            <rFont val="Arial"/>
          </rPr>
          <t>He was crucified under Pontius Pilate, suffered death, and was buried</t>
        </r>
      </text>
    </comment>
    <comment ref="V24" authorId="0" shapeId="0" xr:uid="{00000000-0006-0000-0200-000075000000}">
      <text>
        <r>
          <rPr>
            <sz val="10"/>
            <color rgb="FF000000"/>
            <rFont val="Arial"/>
          </rPr>
          <t>Jesus was both the priest who offered the sacrificed for sin, and he was the victim who was sacrificed.</t>
        </r>
      </text>
    </comment>
    <comment ref="W24" authorId="0" shapeId="0" xr:uid="{00000000-0006-0000-0200-000076000000}">
      <text>
        <r>
          <rPr>
            <sz val="10"/>
            <color rgb="FF000000"/>
            <rFont val="Arial"/>
          </rPr>
          <t>From the cross Jesus cried out, "It is finished!" The price for sin was paid, and redemption was complete.</t>
        </r>
      </text>
    </comment>
    <comment ref="O25" authorId="0" shapeId="0" xr:uid="{00000000-0006-0000-0200-000077000000}">
      <text>
        <r>
          <rPr>
            <sz val="10"/>
            <color rgb="FF000000"/>
            <rFont val="Arial"/>
          </rPr>
          <t>The road to victory: It is finished!
Victory requires sacrifice. The ultimate victory over sin, death, Satan, and all the powers of hell required the ultimate sacrifice.
Crucifixion was a dreadful way to die, but Jesus' suffering was more than physical. The Bible says, "It is a dreadful thing to fall into the hands of the living God," and Jesus fell under the dreadful wrath of God, as he carried the sin of the world as our substitute and Savior.
In the end the sacrifice was complete, the infinite payment was sufficient to atone for guilt, and the victory was won. "It is finished!" Jesus cried out from the cross. "Paid in full!"</t>
        </r>
      </text>
    </comment>
    <comment ref="O26" authorId="0" shapeId="0" xr:uid="{00000000-0006-0000-0200-000078000000}">
      <text>
        <r>
          <rPr>
            <sz val="10"/>
            <color rgb="FF000000"/>
            <rFont val="Arial"/>
          </rPr>
          <t>Reveling in the Resurrection: Let all God's people sing for joy!
The battle is over! The victory is complete! Jesus shattered the bonds of death and burst victorious from the tomb on Easter Sunday. The voice of the angel is the voice of victory: "He is not here. He has risen!"
How shall we celebrate the destruction of our last enemy death? Let joy fill our hearts, and let a song of praise be found on our lips! Christ is risen! He is risen, indeed!</t>
        </r>
      </text>
    </comment>
    <comment ref="P26" authorId="0" shapeId="0" xr:uid="{00000000-0006-0000-0200-000079000000}">
      <text>
        <r>
          <rPr>
            <sz val="10"/>
            <color rgb="FF000000"/>
            <rFont val="Arial"/>
          </rPr>
          <t>O God, you made the dawn of this most holy day shine with the glory of our Lord’s resurrection. Grant that we who have been raised from the death of sin by your life-giving Spirit may worship you in sincerity and truth; through Jesus Christ our Lord, who lives and reigns with you and the Holy Spirit, now and forever.</t>
        </r>
      </text>
    </comment>
    <comment ref="Q26" authorId="0" shapeId="0" xr:uid="{00000000-0006-0000-0200-00007A000000}">
      <text>
        <r>
          <rPr>
            <sz val="10"/>
            <color rgb="FF000000"/>
            <rFont val="Arial"/>
          </rPr>
          <t>Alleluia. Alleluia. Christ is risen! He is risen indeed! Alleluia. For as in Adam all die, so in Christ all will be made alive. Alleluia.</t>
        </r>
      </text>
    </comment>
    <comment ref="U26" authorId="0" shapeId="0" xr:uid="{00000000-0006-0000-0200-00007B000000}">
      <text>
        <r>
          <rPr>
            <sz val="10"/>
            <color rgb="FF000000"/>
            <rFont val="Arial"/>
          </rPr>
          <t>The First Song of Isaiah praises God for his great victory.</t>
        </r>
      </text>
    </comment>
    <comment ref="V26" authorId="0" shapeId="0" xr:uid="{00000000-0006-0000-0200-00007C000000}">
      <text>
        <r>
          <rPr>
            <sz val="10"/>
            <color rgb="FF000000"/>
            <rFont val="Arial"/>
          </rPr>
          <t>Since Christ has been raised, set your hearts on things above.</t>
        </r>
      </text>
    </comment>
    <comment ref="W26" authorId="0" shapeId="0" xr:uid="{00000000-0006-0000-0200-00007D000000}">
      <text>
        <r>
          <rPr>
            <sz val="10"/>
            <color rgb="FF000000"/>
            <rFont val="Arial"/>
          </rPr>
          <t>Mary Magdalene comes face-to-face with Jesus at the empty tomb.</t>
        </r>
      </text>
    </comment>
    <comment ref="O27" authorId="0" shapeId="0" xr:uid="{00000000-0006-0000-0200-00007E000000}">
      <text>
        <r>
          <rPr>
            <sz val="10"/>
            <color rgb="FF000000"/>
            <rFont val="Arial"/>
          </rPr>
          <t>Reveling in the Resurrection: God gives us the victory in Christ
He died for us. He was raised to life for us. Everything Jesus did was for you!
Sin kills. The law of God condemns. Jesus overcame the  fatal sting of sin and the overwhelming condemnation of the law to restore life and salvation for all. Thanks be to God! He gives us the victory through our Lord Jesus Christ!</t>
        </r>
      </text>
    </comment>
    <comment ref="P27" authorId="0" shapeId="0" xr:uid="{00000000-0006-0000-0200-00007F000000}">
      <text>
        <r>
          <rPr>
            <sz val="10"/>
            <color rgb="FF000000"/>
            <rFont val="Arial"/>
          </rPr>
          <t>Almighty God, by the glorious resurrection of your Son Jesus Christ you conquered death and opened the gate to eternal life. Grant that we, who have been raised with him through baptism, may walk in newness of life and ever rejoice in the hope of sharing his glory; through Jesus Christ our Lord, to whom, with you and the Holy Spirit be dominion and praise now and forever.</t>
        </r>
      </text>
    </comment>
    <comment ref="Q27" authorId="0" shapeId="0" xr:uid="{00000000-0006-0000-0200-000080000000}">
      <text>
        <r>
          <rPr>
            <sz val="10"/>
            <color rgb="FF000000"/>
            <rFont val="Arial"/>
          </rPr>
          <t>Alleluia! Alleluia! This is the day the Lord has made; let us rejoice and be glad in it. Alleluia!</t>
        </r>
      </text>
    </comment>
    <comment ref="T27" authorId="0" shapeId="0" xr:uid="{00000000-0006-0000-0200-000081000000}">
      <text>
        <r>
          <rPr>
            <sz val="10"/>
            <color rgb="FF000000"/>
            <rFont val="Arial"/>
          </rPr>
          <t xml:space="preserve">What defines you? What is your identity? Job? Car? Family? Hard childhood? Rich? American? Athlete?
Conservative/Liberal? Clean house? Success of children?
JB notes:
1. Jesus' resurrection is the reason we can live
2. Jesus' resurrection gives purpose to our lives
Know how to die before you can know how to live.
Live with promise and hope.
Pastor friend: I'm going to heaven when I die!
</t>
        </r>
      </text>
    </comment>
    <comment ref="U27" authorId="0" shapeId="0" xr:uid="{00000000-0006-0000-0200-000082000000}">
      <text>
        <r>
          <rPr>
            <sz val="10"/>
            <color rgb="FF000000"/>
            <rFont val="Arial"/>
          </rPr>
          <t>Jonah was rescued from death. As the prophet was three days in the belly of the fish, so Jesus was three days in the heart of the earth.</t>
        </r>
      </text>
    </comment>
    <comment ref="V27" authorId="0" shapeId="0" xr:uid="{00000000-0006-0000-0200-000083000000}">
      <text>
        <r>
          <rPr>
            <sz val="10"/>
            <color rgb="FF000000"/>
            <rFont val="Arial"/>
          </rPr>
          <t>Jesus' victory gives new purpose and meaning to every Christian's life.</t>
        </r>
      </text>
    </comment>
    <comment ref="W27" authorId="0" shapeId="0" xr:uid="{00000000-0006-0000-0200-000084000000}">
      <text>
        <r>
          <rPr>
            <sz val="10"/>
            <color rgb="FF000000"/>
            <rFont val="Arial"/>
          </rPr>
          <t>An angel proclaimed the news of the greatest event in human history: He is not here. He has risen, just as he said."</t>
        </r>
      </text>
    </comment>
    <comment ref="O28" authorId="0" shapeId="0" xr:uid="{00000000-0006-0000-0200-000085000000}">
      <text>
        <r>
          <rPr>
            <sz val="10"/>
            <color rgb="FF000000"/>
            <rFont val="Arial"/>
          </rPr>
          <t>Reveling in the Resurrection: The risen Christ dispels doubt and fear
How can a dead man come back to life? What does the resurrection of Jesus mean? Jesus appeared to his disciples to show them that he was really alive. He ate with them, and he let them touch him. He wanted there to be no doubt in their minds that it was really the same Jesus who had been crucified, and he was really alive.
Because their doubts were overcome, the disciples were filled with hope. The enemy of all human beings called death really has been overcome. It has lost its sting. In place of doubt we have certainty. In place of fear we now have hope.</t>
        </r>
      </text>
    </comment>
    <comment ref="P28" authorId="0" shapeId="0" xr:uid="{00000000-0006-0000-0200-000086000000}">
      <text>
        <r>
          <rPr>
            <sz val="10"/>
            <color rgb="FF000000"/>
            <rFont val="Arial"/>
          </rPr>
          <t>O risen Lord, you came to your disciples and took away their fears with your word of peace. Come to us also by your Word and sacrament, and banish our fears with the comforting assurance of your abiding presence; for you live and reign with the Father and the Holy Spirit, one God, now and forever.</t>
        </r>
      </text>
    </comment>
    <comment ref="Q28" authorId="0" shapeId="0" xr:uid="{00000000-0006-0000-0200-000087000000}">
      <text>
        <r>
          <rPr>
            <sz val="10"/>
            <color rgb="FF000000"/>
            <rFont val="Arial"/>
          </rPr>
          <t>Alleluia. Alleluia. Christ is risen! He is risen indeed! Alleluia. Blessed are those who have not seen and yet have believed. Alleluia.</t>
        </r>
      </text>
    </comment>
    <comment ref="U28" authorId="0" shapeId="0" xr:uid="{00000000-0006-0000-0200-000088000000}">
      <text>
        <r>
          <rPr>
            <sz val="10"/>
            <color rgb="FF000000"/>
            <rFont val="Arial"/>
          </rPr>
          <t>Jesus' resurrection fulfilled the Old Testament prophecies spoken about him through the ages.</t>
        </r>
      </text>
    </comment>
    <comment ref="V28" authorId="0" shapeId="0" xr:uid="{00000000-0006-0000-0200-000089000000}">
      <text>
        <r>
          <rPr>
            <sz val="10"/>
            <color rgb="FF000000"/>
            <rFont val="Arial"/>
          </rPr>
          <t>Praise God for a new birth into a living hope through Jesus' resurrection.</t>
        </r>
      </text>
    </comment>
    <comment ref="W28" authorId="0" shapeId="0" xr:uid="{00000000-0006-0000-0200-00008A000000}">
      <text>
        <r>
          <rPr>
            <sz val="10"/>
            <color rgb="FF000000"/>
            <rFont val="Arial"/>
          </rPr>
          <t>Jesus dispels Thomas' doubt and allays his disciples' fears.</t>
        </r>
      </text>
    </comment>
    <comment ref="O29" authorId="0" shapeId="0" xr:uid="{00000000-0006-0000-0200-00008B000000}">
      <text>
        <r>
          <rPr>
            <sz val="10"/>
            <color rgb="FF000000"/>
            <rFont val="Arial"/>
          </rPr>
          <t>Reveling in the Resurrection: Redeemed, restored, forgiven!
After his resurrection Jesus appeared to many people and gave many convincing proofs that he was alive. He taught his disciples about the kingdom of God. Explained to them what his resurrection means.
As we rejoice in Jesus' victory, we can't help reflect on what his resurrection from the grave means for us. We have living proof that Jesus is the Son of God with power over the grave. We have living proof that his sacrifice on the cross was complete, and we are redeemed. We having living proof that our sins have been forgiven, and we are restored to a right relationship with God.</t>
        </r>
      </text>
    </comment>
    <comment ref="P29" authorId="0" shapeId="0" xr:uid="{00000000-0006-0000-0200-00008C000000}">
      <text>
        <r>
          <rPr>
            <sz val="10"/>
            <color rgb="FF000000"/>
            <rFont val="Arial"/>
          </rPr>
          <t>O God, by the humiliation of your Son you lifted up this fallen world from the despair of death. By his resurrection to life, grant your faithful people gladness of heart and the hope of eternal joys; through your Son, Jesus Christ, who lives and reigns with you and the Holy Spirit, one God, now and forever.</t>
        </r>
      </text>
    </comment>
    <comment ref="Q29" authorId="0" shapeId="0" xr:uid="{00000000-0006-0000-0200-00008D000000}">
      <text>
        <r>
          <rPr>
            <sz val="10"/>
            <color rgb="FF000000"/>
            <rFont val="Arial"/>
          </rPr>
          <t>Alleluia. Alleluia. Christ is risen! He is risen indeed! Alleluia. Our hearts were burning within us while he talked with us on the road and opened the Scriptures to us. Alleluia.</t>
        </r>
      </text>
    </comment>
    <comment ref="U29" authorId="0" shapeId="0" xr:uid="{00000000-0006-0000-0200-00008E000000}">
      <text>
        <r>
          <rPr>
            <sz val="10"/>
            <color rgb="FF000000"/>
            <rFont val="Arial"/>
          </rPr>
          <t>Peter addresses the crowd, calling people to repent and find forgiveness in Jesus.</t>
        </r>
      </text>
    </comment>
    <comment ref="V29" authorId="0" shapeId="0" xr:uid="{00000000-0006-0000-0200-00008F000000}">
      <text>
        <r>
          <rPr>
            <sz val="10"/>
            <color rgb="FF000000"/>
            <rFont val="Arial"/>
          </rPr>
          <t>We were not redeemed with gold or silver but with the precious blood of Christ.</t>
        </r>
      </text>
    </comment>
    <comment ref="W29" authorId="0" shapeId="0" xr:uid="{00000000-0006-0000-0200-000090000000}">
      <text>
        <r>
          <rPr>
            <sz val="10"/>
            <color rgb="FF000000"/>
            <rFont val="Arial"/>
          </rPr>
          <t>Jesus explains the meaning of his resurrection to two disciples on the road to Emmaus.</t>
        </r>
      </text>
    </comment>
    <comment ref="O30" authorId="0" shapeId="0" xr:uid="{00000000-0006-0000-0200-000091000000}">
      <text>
        <r>
          <rPr>
            <sz val="10"/>
            <color rgb="FF000000"/>
            <rFont val="Arial"/>
          </rPr>
          <t>Reveling in the Resurrection: Safe in Jesus' arms
The world is a dangerous place. Even when we're safe from physical harm, dangers to our soul lurk around every corner. The culture around us tries to draw us into its way of thinking. The devil uses every trick and tool to lure us into sin. Evil desires arise from within us, tempting us to turn away from our Savior.
Jesus is our Good Shepherd. He holds us close to him and keeps us in his tender care. He shields us from the wolves that would tear us to pieces, and he keeps us in his flock. Even if we give up our life for Jesus, we know he's by our side to see us through the valley of death into heavenly pastures of light and life.</t>
        </r>
      </text>
    </comment>
    <comment ref="P30" authorId="0" shapeId="0" xr:uid="{00000000-0006-0000-0200-000092000000}">
      <text>
        <r>
          <rPr>
            <sz val="10"/>
            <color rgb="FF000000"/>
            <rFont val="Arial"/>
          </rPr>
          <t>O Lord Jesus Christ, you are the Good Shepherd who laid down your life for the sheep. Lead us now to the still waters of your life-giving Word that we may abide in your Father’s house forevermore; for you live and reign with him and the Holy Spirit, one God, now and forever.</t>
        </r>
      </text>
    </comment>
    <comment ref="Q30" authorId="0" shapeId="0" xr:uid="{00000000-0006-0000-0200-000093000000}">
      <text>
        <r>
          <rPr>
            <sz val="10"/>
            <color rgb="FF000000"/>
            <rFont val="Arial"/>
          </rPr>
          <t>Alleluia. Alleluia. Christ is risen! He is risen indeed! Alleluia. I am the good shepherd; I know my sheep and my sheep know me. Alleluia.</t>
        </r>
      </text>
    </comment>
    <comment ref="U30" authorId="0" shapeId="0" xr:uid="{00000000-0006-0000-0200-000094000000}">
      <text>
        <r>
          <rPr>
            <sz val="10"/>
            <color rgb="FF000000"/>
            <rFont val="Arial"/>
          </rPr>
          <t>Stephen was the first Christian martyr. He fell asleep in Jesus, confident in his Savior.</t>
        </r>
      </text>
    </comment>
    <comment ref="V30" authorId="0" shapeId="0" xr:uid="{00000000-0006-0000-0200-000095000000}">
      <text>
        <r>
          <rPr>
            <sz val="10"/>
            <color rgb="FF000000"/>
            <rFont val="Arial"/>
          </rPr>
          <t>Sometimes Christians suffer for doing what is right.</t>
        </r>
      </text>
    </comment>
    <comment ref="W30" authorId="0" shapeId="0" xr:uid="{00000000-0006-0000-0200-000096000000}">
      <text>
        <r>
          <rPr>
            <sz val="10"/>
            <color rgb="FF000000"/>
            <rFont val="Arial"/>
          </rPr>
          <t>Jesus, our Good Shepherd, keeps us safe in his tender mercy and care.</t>
        </r>
      </text>
    </comment>
    <comment ref="O31" authorId="0" shapeId="0" xr:uid="{00000000-0006-0000-0200-000097000000}">
      <text>
        <r>
          <rPr>
            <sz val="10"/>
            <color rgb="FF000000"/>
            <rFont val="Arial"/>
          </rPr>
          <t>Reveling in the Resurrection:  We are built on Christ 
Jesus and his resurrection are the foundation of our lives. Each of us is a living stone,  and together we make up the temple of God. We are built on the foundation of the Holy Scriptures, and Jesus Christ is the Chief Cornerstone. 
When we search the Scriptures we learn more of God's love revealed to us in Christ. We learn the Jesus' resurrection that defeated death is also our victory over death. We learn that our Savior is preparing a place for us in heaven, and finally he will take us to be with him in our eternal home. Our lives are built on this confident hope, and our foundation cannot be shaken!</t>
        </r>
      </text>
    </comment>
    <comment ref="P31" authorId="0" shapeId="0" xr:uid="{00000000-0006-0000-0200-000098000000}">
      <text>
        <r>
          <rPr>
            <sz val="10"/>
            <color rgb="FF000000"/>
            <rFont val="Arial"/>
          </rPr>
          <t>O God, you form the minds of your faithful people into a single will. Make us love what you command and desire what you promise, that among the many changes of this world, our hearts may ever yearn for the lasting joys of heaven; through your Son, Jesus Christ our Lord, who lives and reigns with you and the Holy Spirit, one God, now and forever.</t>
        </r>
      </text>
    </comment>
    <comment ref="Q31" authorId="0" shapeId="0" xr:uid="{00000000-0006-0000-0200-000099000000}">
      <text>
        <r>
          <rPr>
            <sz val="10"/>
            <color rgb="FF000000"/>
            <rFont val="Arial"/>
          </rPr>
          <t>Alleluia. Alleluia. Christ is risen! He is risen indeed! Alleluia. I am the way, the truth, and the life, says the Lord. Alleluia.</t>
        </r>
      </text>
    </comment>
    <comment ref="U31" authorId="0" shapeId="0" xr:uid="{00000000-0006-0000-0200-00009A000000}">
      <text>
        <r>
          <rPr>
            <sz val="10"/>
            <color rgb="FF000000"/>
            <rFont val="Arial"/>
          </rPr>
          <t>The Bereans searched the Scriptures to verify that the words of the apostles were true.</t>
        </r>
      </text>
    </comment>
    <comment ref="V31" authorId="0" shapeId="0" xr:uid="{00000000-0006-0000-0200-00009B000000}">
      <text>
        <r>
          <rPr>
            <sz val="10"/>
            <color rgb="FF000000"/>
            <rFont val="Arial"/>
          </rPr>
          <t>We are God's house of living stones in which he lives by his Spirit. With our Christian lives we offer a living sacrifice of thanks and praise.</t>
        </r>
      </text>
    </comment>
    <comment ref="W31" authorId="0" shapeId="0" xr:uid="{00000000-0006-0000-0200-00009C000000}">
      <text>
        <r>
          <rPr>
            <sz val="10"/>
            <color rgb="FF000000"/>
            <rFont val="Arial"/>
          </rPr>
          <t>Our living Savior is preparing an eternal home for us in heaven.</t>
        </r>
      </text>
    </comment>
    <comment ref="O32" authorId="0" shapeId="0" xr:uid="{00000000-0006-0000-0200-00009D000000}">
      <text>
        <r>
          <rPr>
            <sz val="10"/>
            <color rgb="FF000000"/>
            <rFont val="Arial"/>
          </rPr>
          <t>Reveling in the Resurrection: The Spirit reveals the Living God
Every human being naturally knows that God exists. We see evidence of a Creator in the beauty and complexity of creation, and our own conscience tells us that we are accountable to our Maker. But we do not know naturally who God is and what he has done to save us. The answers to these questions must be revealed to us in Scripture.
In the Bible we learn who God is. We learn his name--the Lord--and we learn what he has done to save us from our sins. He died on the cross to forgive us, and he rose again to give us eternal life.
On the pages of Scripture the Unknown God is made known!</t>
        </r>
      </text>
    </comment>
    <comment ref="P32" authorId="0" shapeId="0" xr:uid="{00000000-0006-0000-0200-00009E000000}">
      <text>
        <r>
          <rPr>
            <sz val="10"/>
            <color rgb="FF000000"/>
            <rFont val="Arial"/>
          </rPr>
          <t>Father of lights, every good and perfect gift comes from you. Inspire us to think those things that are true and long for those things that are good, that we may always make our petitions according to your gracious will; through your Son, Jesus Christ our Lord, who lives and reigns with you and the Holy Spirit, one God, now and forever.</t>
        </r>
      </text>
    </comment>
    <comment ref="Q32" authorId="0" shapeId="0" xr:uid="{00000000-0006-0000-0200-00009F000000}">
      <text>
        <r>
          <rPr>
            <sz val="10"/>
            <color rgb="FF000000"/>
            <rFont val="Arial"/>
          </rPr>
          <t>Alleluia. Alleluia. Christ is risen! He is risen indeed! Alleluia. Surely I will be with you always, to the very end of the age. Alleluia.</t>
        </r>
      </text>
    </comment>
    <comment ref="U32" authorId="0" shapeId="0" xr:uid="{00000000-0006-0000-0200-0000A0000000}">
      <text>
        <r>
          <rPr>
            <sz val="10"/>
            <color rgb="FF000000"/>
            <rFont val="Arial"/>
          </rPr>
          <t>The Apostle Paul revealed of the Living God to the people of Athens</t>
        </r>
      </text>
    </comment>
    <comment ref="V32" authorId="0" shapeId="0" xr:uid="{00000000-0006-0000-0200-0000A1000000}">
      <text>
        <r>
          <rPr>
            <sz val="10"/>
            <color rgb="FF000000"/>
            <rFont val="Arial"/>
          </rPr>
          <t>In the Living Lord Jesus we have answers to the most pressing questions of life. This Good News of hope is ours to share with gentleness and respect.</t>
        </r>
      </text>
    </comment>
    <comment ref="W32" authorId="0" shapeId="0" xr:uid="{00000000-0006-0000-0200-0000A2000000}">
      <text>
        <r>
          <rPr>
            <sz val="10"/>
            <color rgb="FF000000"/>
            <rFont val="Arial"/>
          </rPr>
          <t>The Spirit of Truth testifies to the Father and the Son.</t>
        </r>
      </text>
    </comment>
    <comment ref="O33" authorId="0" shapeId="0" xr:uid="{00000000-0006-0000-0200-0000A3000000}">
      <text>
        <r>
          <rPr>
            <sz val="10"/>
            <color rgb="FF000000"/>
            <rFont val="Arial"/>
          </rPr>
          <t>Reveling in the Resurrection: The Spirit reveals the Living God
Every human being naturally knows that God exists. We see evidence of a Creator in the beauty and complexity of creation, and our own conscience tells us that we are accountable to our Maker. But we do not know naturally who God is and what he has done to save us. The answers to these questions must be revealed to us in Scripture.
In the Bible we learn who God is. We learn his name--the Lord--and we learn what he has done to save us from our sins. He died on the cross to forgive us, and he rose again to give us eternal life.
On the pages of Scripture the Unknown God is made known!</t>
        </r>
      </text>
    </comment>
    <comment ref="P33" authorId="0" shapeId="0" xr:uid="{00000000-0006-0000-0200-0000A4000000}">
      <text>
        <r>
          <rPr>
            <sz val="10"/>
            <color rgb="FF000000"/>
            <rFont val="Arial"/>
          </rPr>
          <t>Father of lights, every good and perfect gift comes from you. Inspire us to think those things that are true and long for those things that are good, that we may always make our petitions according to your gracious will; through your Son, Jesus Christ our Lord, who lives and reigns with you and the Holy Spirit, one God, now and forever.</t>
        </r>
      </text>
    </comment>
    <comment ref="Q33" authorId="0" shapeId="0" xr:uid="{00000000-0006-0000-0200-0000A5000000}">
      <text>
        <r>
          <rPr>
            <sz val="10"/>
            <color rgb="FF000000"/>
            <rFont val="Arial"/>
          </rPr>
          <t>Alleluia. Alleluia. Christ is risen! He is risen indeed! Alleluia. Surely I will be with you always, to the very end of the age. Alleluia.</t>
        </r>
      </text>
    </comment>
    <comment ref="U33" authorId="0" shapeId="0" xr:uid="{00000000-0006-0000-0200-0000A6000000}">
      <text>
        <r>
          <rPr>
            <sz val="10"/>
            <color rgb="FF000000"/>
            <rFont val="Arial"/>
          </rPr>
          <t>The Apostle Paul revealed of the Living God to the people of Athens</t>
        </r>
      </text>
    </comment>
    <comment ref="V33" authorId="0" shapeId="0" xr:uid="{00000000-0006-0000-0200-0000A7000000}">
      <text>
        <r>
          <rPr>
            <sz val="10"/>
            <color rgb="FF000000"/>
            <rFont val="Arial"/>
          </rPr>
          <t>In the Living Lord Jesus we have answers to the most pressing questions of life. This Good News of hope is ours to share with gentleness and respect.</t>
        </r>
      </text>
    </comment>
    <comment ref="W33" authorId="0" shapeId="0" xr:uid="{00000000-0006-0000-0200-0000A8000000}">
      <text>
        <r>
          <rPr>
            <sz val="10"/>
            <color rgb="FF000000"/>
            <rFont val="Arial"/>
          </rPr>
          <t>The Spirit of Truth testifies to the Father and the Son.</t>
        </r>
      </text>
    </comment>
    <comment ref="O35" authorId="0" shapeId="0" xr:uid="{00000000-0006-0000-0200-0000A9000000}">
      <text>
        <r>
          <rPr>
            <sz val="10"/>
            <color rgb="FF000000"/>
            <rFont val="Arial"/>
          </rPr>
          <t>Reveling in the Resurrection: Glorified with the Father 
40 days after his resurrection on Easter Sunday Jesus ascended into heaven. He is seated at the right hand of Glory and Majesty,  filling all things and ruling and governing all things for the glory of His holy name and for the good of his people, the church. At the right hand of the Father Jesus intercedes for us. The eternal blood of the covenant pleads for our forgiveness. At the end of time he will return to judge the living and the dead, and he will take his people home.
We wait patiently for Jesus' return. In this world we suffered trials, and we endure hardships for the sake of the gospel. That will all be behind us and forgotten when the Lord returns in glory, and we too will be glorified eternally.</t>
        </r>
      </text>
    </comment>
    <comment ref="P35" authorId="0" shapeId="0" xr:uid="{00000000-0006-0000-0200-0000AA000000}">
      <text>
        <r>
          <rPr>
            <sz val="10"/>
            <color rgb="FF000000"/>
            <rFont val="Arial"/>
          </rPr>
          <t>Lord Jesus, King of glory, on this day you ascended far above the heavens and at God’s right hand you rule the nations. Leave us not alone, we pray, but grant us the Spirit of truth that at your command and by your power we may be your witnesses in all the world; for you live and reign with the Father and the Holy Spirit, one God, now and forever.</t>
        </r>
      </text>
    </comment>
    <comment ref="Q35" authorId="0" shapeId="0" xr:uid="{00000000-0006-0000-0200-0000AB000000}">
      <text>
        <r>
          <rPr>
            <sz val="10"/>
            <color rgb="FF000000"/>
            <rFont val="Arial"/>
          </rPr>
          <t>Alleluia. Alleluia. Christ is risen! He is risen indeed! Alleluia. I will not leave you as orphans; I will come to you. Alleluia.</t>
        </r>
      </text>
    </comment>
    <comment ref="U35" authorId="0" shapeId="0" xr:uid="{00000000-0006-0000-0200-0000AC000000}">
      <text>
        <r>
          <rPr>
            <sz val="10"/>
            <color rgb="FF000000"/>
            <rFont val="Arial"/>
          </rPr>
          <t>The disciples saw Jesus ascend into heaven.</t>
        </r>
      </text>
    </comment>
    <comment ref="V35" authorId="0" shapeId="0" xr:uid="{00000000-0006-0000-0200-0000AD000000}">
      <text>
        <r>
          <rPr>
            <sz val="10"/>
            <color rgb="FF000000"/>
            <rFont val="Arial"/>
          </rPr>
          <t>Here on earth we suffer trials for a little while because of the gospel. In the end we too will be glorified with Jesus.</t>
        </r>
      </text>
    </comment>
    <comment ref="W35" authorId="0" shapeId="0" xr:uid="{00000000-0006-0000-0200-0000AE000000}">
      <text>
        <r>
          <rPr>
            <sz val="10"/>
            <color rgb="FF000000"/>
            <rFont val="Arial"/>
          </rPr>
          <t>Jesus looks forward to the time when he will be glorified, and his disciples will see his glory.</t>
        </r>
      </text>
    </comment>
    <comment ref="O36" authorId="0" shapeId="0" xr:uid="{00000000-0006-0000-0200-0000AF000000}">
      <text>
        <r>
          <rPr>
            <sz val="10"/>
            <color rgb="FF000000"/>
            <rFont val="Arial"/>
          </rPr>
          <t>The Spirit of Grace and Truth
Fifty days after Jesus' resurrection, the Holy Spirit was poured out upon the disciples in great power. On the day of Pentecost the disciples spoke in other languages and testified to all the things God had done in Christ, raising Jesus from the dead.
The festival of Pentecost might be considered the birthday of the Christian Church. From Jerusalem the good news spread throughout the world.</t>
        </r>
      </text>
    </comment>
    <comment ref="P36" authorId="0" shapeId="0" xr:uid="{00000000-0006-0000-0200-0000B0000000}">
      <text>
        <r>
          <rPr>
            <sz val="10"/>
            <color rgb="FF000000"/>
            <rFont val="Arial"/>
          </rPr>
          <t>Holy Spirit, God and Lord, come to us this joyful day with your sevenfold gift of grace. Rekindle in our hearts the holy fire of your love that in a true and living faith we may tell abroad the glory of our Savior, Jesus Christ, who lives and reigns with you and the Father, one God, now and forever.</t>
        </r>
      </text>
    </comment>
    <comment ref="Q36" authorId="0" shapeId="0" xr:uid="{00000000-0006-0000-0200-0000B1000000}">
      <text>
        <r>
          <rPr>
            <sz val="10"/>
            <color rgb="FF000000"/>
            <rFont val="Arial"/>
          </rPr>
          <t xml:space="preserve">Alleluia. Come, Holy Spirit, fill the hearts of your faithful people, and kindle in them the fire of your love. Alleluia. </t>
        </r>
      </text>
    </comment>
    <comment ref="U36" authorId="0" shapeId="0" xr:uid="{00000000-0006-0000-0200-0000B2000000}">
      <text>
        <r>
          <rPr>
            <sz val="10"/>
            <color rgb="FF000000"/>
            <rFont val="Arial"/>
          </rPr>
          <t>The Lord promises through his prophet Joel that he will pour out his Spirit upon believers.</t>
        </r>
      </text>
    </comment>
    <comment ref="V36" authorId="0" shapeId="0" xr:uid="{00000000-0006-0000-0200-0000B3000000}">
      <text>
        <r>
          <rPr>
            <sz val="10"/>
            <color rgb="FF000000"/>
            <rFont val="Arial"/>
          </rPr>
          <t>The disciples were filled with the Holy Spirit and spoke in other languages about Jesus' resurrection from the dead.</t>
        </r>
      </text>
    </comment>
    <comment ref="W36" authorId="0" shapeId="0" xr:uid="{00000000-0006-0000-0200-0000B4000000}">
      <text>
        <r>
          <rPr>
            <sz val="10"/>
            <color rgb="FF000000"/>
            <rFont val="Arial"/>
          </rPr>
          <t>Jesus promises he will send the Comforter, the Spirit of truth.</t>
        </r>
      </text>
    </comment>
    <comment ref="O37" authorId="0" shapeId="0" xr:uid="{00000000-0006-0000-0200-0000B5000000}">
      <text>
        <r>
          <rPr>
            <sz val="10"/>
            <color rgb="FF000000"/>
            <rFont val="Arial"/>
          </rPr>
          <t>The Mystery of Divinity
There is no way to understand God. If God were so small as to fit inside our heads, he would not be God. A god who could be comprehended is a god of human invention.
God reveals the wonder and mystery of his divinity. He is one divine Being who tells us he is three divine Persons: Father, Son and Holy Spirit, infinite, indivisible, incomprehensible.
Holy Trinity Sunday is the day in the church year when we celebrate and cherish the Trinity in Unity and the Unity in Trinity, the God who has created us, redeemed us, and sanctified us.</t>
        </r>
      </text>
    </comment>
    <comment ref="P37" authorId="0" shapeId="0" xr:uid="{00000000-0006-0000-0200-0000B6000000}">
      <text>
        <r>
          <rPr>
            <sz val="10"/>
            <color rgb="FF000000"/>
            <rFont val="Arial"/>
          </rPr>
          <t xml:space="preserve">Almighty God and Father, dwelling in majesty and mystery, filling and renewing all creation by your eternal Spirit, and manifesting your saving grace through our Lord Jesus Christ: in mercy cleanse our hearts and lips that, free from doubt and fear, we may ever worship you, one true immortal God, with your Son and the Holy Spirit, living and reigning, now and forever.
</t>
        </r>
      </text>
    </comment>
    <comment ref="Q37" authorId="0" shapeId="0" xr:uid="{00000000-0006-0000-0200-0000B7000000}">
      <text>
        <r>
          <rPr>
            <sz val="10"/>
            <color rgb="FF000000"/>
            <rFont val="Arial"/>
          </rPr>
          <t>Alleluia. Holy, holy, holy is the Lord Almighty; the whole earth is full of his glory. Alleluia.</t>
        </r>
      </text>
    </comment>
    <comment ref="U37" authorId="0" shapeId="0" xr:uid="{00000000-0006-0000-0200-0000B8000000}">
      <text>
        <r>
          <rPr>
            <sz val="10"/>
            <color rgb="FF000000"/>
            <rFont val="Arial"/>
          </rPr>
          <t>God created everything that exists, seen and unseen.</t>
        </r>
      </text>
    </comment>
    <comment ref="V37" authorId="0" shapeId="0" xr:uid="{00000000-0006-0000-0200-0000B9000000}">
      <text>
        <r>
          <rPr>
            <sz val="10"/>
            <color rgb="FF000000"/>
            <rFont val="Arial"/>
          </rPr>
          <t>The Apostolic Benediction shares a word of blessing in the name of all three persons of the Holy Trinity.</t>
        </r>
      </text>
    </comment>
    <comment ref="W37" authorId="0" shapeId="0" xr:uid="{00000000-0006-0000-0200-0000BA000000}">
      <text>
        <r>
          <rPr>
            <sz val="10"/>
            <color rgb="FF000000"/>
            <rFont val="Arial"/>
          </rPr>
          <t>In Baptism God places the name of the Triune God upon us and welcomes us into his family.</t>
        </r>
      </text>
    </comment>
    <comment ref="O38" authorId="0" shapeId="0" xr:uid="{00000000-0006-0000-0200-0000BB000000}">
      <text>
        <r>
          <rPr>
            <sz val="10"/>
            <color rgb="FF000000"/>
            <rFont val="Arial"/>
          </rPr>
          <t>Walking in God's commands: You shall have no other gods
Today we begin a series on the Ten Commandments. Our series over the next several weeks will explore each commandment in detail.
The First Commandment is the starting point and the most fundamental of the commandments. It governs our relationship with God himself. We are to fear, love and trust in the one true God above all things. Nothing is to get in the way of our relationship with him.
Through every commandment God blesses us, as we walk in obedience down the righteous path of love for God and our neighbor.</t>
        </r>
      </text>
    </comment>
    <comment ref="P38" authorId="0" shapeId="0" xr:uid="{00000000-0006-0000-0200-0000BC000000}">
      <text>
        <r>
          <rPr>
            <sz val="10"/>
            <color rgb="FF000000"/>
            <rFont val="Arial"/>
          </rPr>
          <t>O God, you rule over all things in wisdom and kindness. Take away everything that may be harmful and give us whatever is good; through your Son, Jesus Christ our Lord, who lives and reigns with you and the Holy Spirit, one God, now and forever.</t>
        </r>
      </text>
    </comment>
    <comment ref="Q38" authorId="0" shapeId="0" xr:uid="{00000000-0006-0000-0200-0000BD000000}">
      <text>
        <r>
          <rPr>
            <sz val="10"/>
            <color rgb="FF000000"/>
            <rFont val="Arial"/>
          </rPr>
          <t xml:space="preserve">Alleluia. Your word is a lamp to my feet and light for my path. Alleluia. </t>
        </r>
      </text>
    </comment>
    <comment ref="U38" authorId="0" shapeId="0" xr:uid="{00000000-0006-0000-0200-0000BE000000}">
      <text>
        <r>
          <rPr>
            <sz val="10"/>
            <color rgb="FF000000"/>
            <rFont val="Arial"/>
          </rPr>
          <t>Walking in God's ways is the path of blessing for us and for our children.</t>
        </r>
      </text>
    </comment>
    <comment ref="V38" authorId="0" shapeId="0" xr:uid="{00000000-0006-0000-0200-0000BF000000}">
      <text>
        <r>
          <rPr>
            <sz val="10"/>
            <color rgb="FF000000"/>
            <rFont val="Arial"/>
          </rPr>
          <t>Only the true God gives us his own righteousness to make us sinless in his sight.</t>
        </r>
      </text>
    </comment>
    <comment ref="W38" authorId="0" shapeId="0" xr:uid="{00000000-0006-0000-0200-0000C0000000}">
      <text>
        <r>
          <rPr>
            <sz val="10"/>
            <color rgb="FF000000"/>
            <rFont val="Arial"/>
          </rPr>
          <t>Jesus' teaching is a firm foundation on which to build our lives.</t>
        </r>
      </text>
    </comment>
    <comment ref="O39" authorId="0" shapeId="0" xr:uid="{00000000-0006-0000-0200-0000C1000000}">
      <text>
        <r>
          <rPr>
            <sz val="10"/>
            <color rgb="FF000000"/>
            <rFont val="Arial"/>
          </rPr>
          <t>A bold confession 
In 1530 the Lutheran princes presented the Augsburg confession to Emperor Charles V. The Augsburg confession presented the teaching of the Bible in the face of many errors that had crept into the Roman Church throughout the Middle Ages. The Lutherans especially wanted to emphasize the Bible's teaching that we are saved by grace alone,  through faith alone, and that Scripture alone is the sole authority for all doctrine and practice in the church. 
This year we celebrate the 500th anniversary of the beginning of the Lutheran Reformation. In 1517 Dr. Martin Luther posted 95 Theses on the door of the church in Wittenberg, Germany, thus igniting the Reformation across Europe. The presentation of the Augsburg confession on June 25, 1530, represents another special milestone in the history of the Reformation of the Christian church.</t>
        </r>
      </text>
    </comment>
    <comment ref="P39" authorId="0" shapeId="0" xr:uid="{00000000-0006-0000-0200-0000C2000000}">
      <text>
        <r>
          <rPr>
            <sz val="10"/>
            <color rgb="FF000000"/>
            <rFont val="Arial"/>
          </rPr>
          <t>O Lord, favorably receive the prayers of your Church, that being instructed by the doctrine of the blessed apostles, we may always make a pure confession of your saving truth; through Jesus Christ, your Son, our Lord, who lives and reigns with you and the Holy Spirit, one God, now and forever.</t>
        </r>
      </text>
    </comment>
    <comment ref="Q39" authorId="0" shapeId="0" xr:uid="{00000000-0006-0000-0200-0000C3000000}">
      <text>
        <r>
          <rPr>
            <sz val="10"/>
            <color rgb="FF000000"/>
            <rFont val="Arial"/>
          </rPr>
          <t>Alleluia. Sanctify them by the truth; your Word is truth. Alleluia.</t>
        </r>
      </text>
    </comment>
    <comment ref="U39" authorId="0" shapeId="0" xr:uid="{00000000-0006-0000-0200-0000C4000000}">
      <text>
        <r>
          <rPr>
            <sz val="10"/>
            <color rgb="FF000000"/>
            <rFont val="Arial"/>
          </rPr>
          <t>God's Word never returns to him empty. It accomplishes what he desires and achieves the purpose for which he sent it.</t>
        </r>
      </text>
    </comment>
    <comment ref="V39" authorId="0" shapeId="0" xr:uid="{00000000-0006-0000-0200-0000C5000000}">
      <text>
        <r>
          <rPr>
            <sz val="10"/>
            <color rgb="FF000000"/>
            <rFont val="Arial"/>
          </rPr>
          <t>Faith comes from hearing the message, and the message is heard through the word of Christ.</t>
        </r>
      </text>
    </comment>
    <comment ref="W39" authorId="0" shapeId="0" xr:uid="{00000000-0006-0000-0200-0000C6000000}">
      <text>
        <r>
          <rPr>
            <sz val="10"/>
            <color rgb="FF000000"/>
            <rFont val="Arial"/>
          </rPr>
          <t>Following Christ means carrying the cross of discipleship.</t>
        </r>
      </text>
    </comment>
    <comment ref="O40" authorId="0" shapeId="0" xr:uid="{00000000-0006-0000-0200-0000C7000000}">
      <text>
        <r>
          <rPr>
            <sz val="10"/>
            <color rgb="FF000000"/>
            <rFont val="Arial"/>
          </rPr>
          <t>Walking in God's commands: You shall not misuse the name of the Lord your God
We should fear and love God that we do not use his name to curse, swear, lie, or deceive, or use witchcraft, but call upon God's name in every trouble, pray, praise, and give thanks.
God's name is not just a word or a proper noun. It is everything about himself that he reveals to bless us and save us.
Through every commandment God blesses us, as we walk in obedience down the righteous path of love for God and our neighbor.</t>
        </r>
      </text>
    </comment>
    <comment ref="P40" authorId="0" shapeId="0" xr:uid="{00000000-0006-0000-0200-0000C8000000}">
      <text>
        <r>
          <rPr>
            <sz val="10"/>
            <color rgb="FF000000"/>
            <rFont val="Arial"/>
          </rPr>
          <t xml:space="preserve">O God, protector of all the faithful, you alone make strong; you alone make holy. Show us your mercy and forgive our sins day by day. Guide us through our earthly lives that we do not lose the things you have prepared for us in heaven; through Jesus Christ our Lord, who lives and reigns with you and the Holy Spirit, one God, now and forever.
</t>
        </r>
      </text>
    </comment>
    <comment ref="U40" authorId="0" shapeId="0" xr:uid="{00000000-0006-0000-0200-0000C9000000}">
      <text>
        <r>
          <rPr>
            <sz val="10"/>
            <color rgb="FF000000"/>
            <rFont val="Arial"/>
          </rPr>
          <t>The Israelites traveled under the name of the Lord, who had rescued and saved them.</t>
        </r>
      </text>
    </comment>
    <comment ref="V40" authorId="0" shapeId="0" xr:uid="{00000000-0006-0000-0200-0000CA000000}">
      <text>
        <r>
          <rPr>
            <sz val="10"/>
            <color rgb="FF000000"/>
            <rFont val="Arial"/>
          </rPr>
          <t>While we were still sinners, Christ died for us.</t>
        </r>
      </text>
    </comment>
    <comment ref="W40" authorId="0" shapeId="0" xr:uid="{00000000-0006-0000-0200-0000CB000000}">
      <text>
        <r>
          <rPr>
            <sz val="10"/>
            <color rgb="FF000000"/>
            <rFont val="Arial"/>
          </rPr>
          <t>Jesus sent his disciples to proclaim salvation in God's name.</t>
        </r>
      </text>
    </comment>
    <comment ref="O41" authorId="0" shapeId="0" xr:uid="{00000000-0006-0000-0200-0000CC000000}">
      <text>
        <r>
          <rPr>
            <sz val="10"/>
            <color rgb="FF000000"/>
            <rFont val="Arial"/>
          </rPr>
          <t>Walking in God's commands: Remember the Sabbath day by keeping it holy.
We should fear and love God that we do not despise preaching and his Word, but regard it as holy and gladly hear and learn it.
Through every commandment God blesses us, as we walk in obedience down the righteous path of love for God and our neighbor.</t>
        </r>
      </text>
    </comment>
    <comment ref="P41" authorId="0" shapeId="0" xr:uid="{00000000-0006-0000-0200-0000CD000000}">
      <text>
        <r>
          <rPr>
            <sz val="10"/>
            <color rgb="FF000000"/>
            <rFont val="Arial"/>
          </rPr>
          <t>O Lord, our God, govern the nations on earth and direct the affairs of this world so that your Church may worship you in peace and joy; through your Son, Jesus Christ our Lord, who lives and reigns with you and the Holy Spirit, one God, now and forever.</t>
        </r>
      </text>
    </comment>
    <comment ref="U41" authorId="0" shapeId="0" xr:uid="{00000000-0006-0000-0200-0000CE000000}">
      <text>
        <r>
          <rPr>
            <sz val="10"/>
            <color rgb="FF000000"/>
            <rFont val="Arial"/>
          </rPr>
          <t>The Lord God gave Jeremiah strength to preach the truth.</t>
        </r>
      </text>
    </comment>
    <comment ref="V41" authorId="0" shapeId="0" xr:uid="{00000000-0006-0000-0200-0000CF000000}">
      <text>
        <r>
          <rPr>
            <sz val="10"/>
            <color rgb="FF000000"/>
            <rFont val="Arial"/>
          </rPr>
          <t>Adam's sin brought death. Christ's obedience brought life and salvation.</t>
        </r>
      </text>
    </comment>
    <comment ref="W41" authorId="0" shapeId="0" xr:uid="{00000000-0006-0000-0200-0000D0000000}">
      <text>
        <r>
          <rPr>
            <sz val="10"/>
            <color rgb="FF000000"/>
            <rFont val="Arial"/>
          </rPr>
          <t>Don't be afraid to speak the truth about Jesus.</t>
        </r>
      </text>
    </comment>
    <comment ref="O42" authorId="0" shapeId="0" xr:uid="{00000000-0006-0000-0200-0000D1000000}">
      <text>
        <r>
          <rPr>
            <sz val="10"/>
            <color rgb="FF000000"/>
            <rFont val="Arial"/>
          </rPr>
          <t>Walking in God's commands: Honor your father and mother
We should fear and love God that we do not dishonor or anger our parents and others in authority, but honor, serve, and obey them, and give them love and respect.
Through every commandment God blesses us, as we walk in obedience down the righteous path of love for God and our neighbor.</t>
        </r>
      </text>
    </comment>
    <comment ref="P42" authorId="0" shapeId="0" xr:uid="{00000000-0006-0000-0200-0000D2000000}">
      <text>
        <r>
          <rPr>
            <sz val="10"/>
            <color rgb="FF000000"/>
            <rFont val="Arial"/>
          </rPr>
          <t>O God, you have prepared joys beyond understanding for those who love you. Pour into our hearts such love for you that, loving you above all things, we may obtain your promises, which exceed all that we can desire; through your Son, Jesus Christ our Lord, who lives and reigns with you and the Holy Spirit, one God, now and forever.</t>
        </r>
      </text>
    </comment>
    <comment ref="U42" authorId="0" shapeId="0" xr:uid="{00000000-0006-0000-0200-0000D3000000}">
      <text>
        <r>
          <rPr>
            <sz val="10"/>
            <color rgb="FF000000"/>
            <rFont val="Arial"/>
          </rPr>
          <t>True prophets speak the true word of the Lord faithfully.</t>
        </r>
      </text>
    </comment>
    <comment ref="V42" authorId="0" shapeId="0" xr:uid="{00000000-0006-0000-0200-0000D4000000}">
      <text>
        <r>
          <rPr>
            <sz val="10"/>
            <color rgb="FF000000"/>
            <rFont val="Arial"/>
          </rPr>
          <t>We were given a new life in baptism, raised with Christ from the dead.</t>
        </r>
      </text>
    </comment>
    <comment ref="W42" authorId="0" shapeId="0" xr:uid="{00000000-0006-0000-0200-0000D5000000}">
      <text>
        <r>
          <rPr>
            <sz val="10"/>
            <color rgb="FF000000"/>
            <rFont val="Arial"/>
          </rPr>
          <t>Welcome those who speak the truth in the name of the Lord.</t>
        </r>
      </text>
    </comment>
    <comment ref="O43" authorId="0" shapeId="0" xr:uid="{00000000-0006-0000-0200-0000D6000000}">
      <text>
        <r>
          <rPr>
            <sz val="10"/>
            <color rgb="FF000000"/>
            <rFont val="Arial"/>
          </rPr>
          <t>Walking in God's commands: You shall not murder
We should fear and love God that we do not hurt or harm our neighbor in his body, but help and befriend him in every bodily need.
Through every commandment God blesses us, as we walk in obedience down the righteous path of love for God and our neighbor.</t>
        </r>
      </text>
    </comment>
    <comment ref="P43" authorId="0" shapeId="0" xr:uid="{00000000-0006-0000-0200-0000D7000000}">
      <text>
        <r>
          <rPr>
            <sz val="10"/>
            <color rgb="FF000000"/>
            <rFont val="Arial"/>
          </rPr>
          <t>God of all power and might, you are the giver of all that is good. Help us love you with all our heart, strengthen us in true faith, provide us with all we need, and keep us safe in your care; through Jesus Christ, your Son, our Lord, who lives and reigns with you and the Holy Spirit, one God, now and forever.</t>
        </r>
      </text>
    </comment>
    <comment ref="U43" authorId="0" shapeId="0" xr:uid="{00000000-0006-0000-0200-0000D8000000}">
      <text>
        <r>
          <rPr>
            <sz val="10"/>
            <color rgb="FF000000"/>
            <rFont val="Arial"/>
          </rPr>
          <t>God promises to remain with the Israelites.</t>
        </r>
      </text>
    </comment>
    <comment ref="V43" authorId="0" shapeId="0" xr:uid="{00000000-0006-0000-0200-0000D9000000}">
      <text>
        <r>
          <rPr>
            <sz val="10"/>
            <color rgb="FF000000"/>
            <rFont val="Arial"/>
          </rPr>
          <t>Our sinful nature wars against our desire to do what is good. Thank God that he has rescued us from this body of death!</t>
        </r>
      </text>
    </comment>
    <comment ref="W43" authorId="0" shapeId="0" xr:uid="{00000000-0006-0000-0200-0000DA000000}">
      <text>
        <r>
          <rPr>
            <sz val="10"/>
            <color rgb="FF000000"/>
            <rFont val="Arial"/>
          </rPr>
          <t>Jesus invites us to come to him when we are weary and burdened.</t>
        </r>
      </text>
    </comment>
    <comment ref="O44" authorId="0" shapeId="0" xr:uid="{00000000-0006-0000-0200-0000DB000000}">
      <text>
        <r>
          <rPr>
            <sz val="10"/>
            <color rgb="FF000000"/>
            <rFont val="Arial"/>
          </rPr>
          <t>Walking in God's commands: You shall not commit adultery
We should fear and love God that we lead a pure and decent life in words and actions, and that husband and wife love and honor each other.
Through every commandment God blesses us, as we walk in obedience down the righteous path of love for God and our neighbor.</t>
        </r>
      </text>
    </comment>
    <comment ref="P44" authorId="0" shapeId="0" xr:uid="{00000000-0006-0000-0200-0000DC000000}">
      <text>
        <r>
          <rPr>
            <sz val="10"/>
            <color rgb="FF000000"/>
            <rFont val="Arial"/>
          </rPr>
          <t>Almighty God, we thank you for planting in us the seed of your Word. By your Holy Spirit help us to receive it with joy and to bring forth fruits in faith and hope and love; through your Son, Jesus Christ our Lord, who lives and reigns with you and the Holy Spirit, one God, now and forever.</t>
        </r>
      </text>
    </comment>
    <comment ref="U44" authorId="0" shapeId="0" xr:uid="{00000000-0006-0000-0200-0000DD000000}">
      <text>
        <r>
          <rPr>
            <sz val="10"/>
            <color rgb="FF000000"/>
            <rFont val="Arial"/>
          </rPr>
          <t>God's word makes us alive, so that we flower and flourish.</t>
        </r>
      </text>
    </comment>
    <comment ref="V44" authorId="0" shapeId="0" xr:uid="{00000000-0006-0000-0200-0000DE000000}">
      <text>
        <r>
          <rPr>
            <sz val="10"/>
            <color rgb="FF000000"/>
            <rFont val="Arial"/>
          </rPr>
          <t>All creation groans under the weight of sin, as it waits for the glorious day of judgment.</t>
        </r>
      </text>
    </comment>
    <comment ref="W44" authorId="0" shapeId="0" xr:uid="{00000000-0006-0000-0200-0000DF000000}">
      <text>
        <r>
          <rPr>
            <sz val="10"/>
            <color rgb="FF000000"/>
            <rFont val="Arial"/>
          </rPr>
          <t>When God's Word is preached, we hope that it will fall on good soil and produce a good harvest.</t>
        </r>
      </text>
    </comment>
    <comment ref="O45" authorId="0" shapeId="0" xr:uid="{00000000-0006-0000-0200-0000E0000000}">
      <text>
        <r>
          <rPr>
            <sz val="10"/>
            <color rgb="FF000000"/>
            <rFont val="Arial"/>
          </rPr>
          <t>Walking in God's commands: You shall not steal; You shall not covet
We should fear and love God that we do not take our neighbor's money or property, or get it by dishonest dealing, but help him to improve and protect his property and means of income.
We should fear and love God that we do not scheme to get our neighbor's inheritance or house, or obtain it by a show of right, but do all we can to help him keep it.
We should fear and love God that we do not force or entice away our neighbor's spouse, workers, or animals, but urge them to stay and do their duty.
Through every commandment God blesses us, as we walk in obedience down the righteous path of love for God and our neighbor.</t>
        </r>
      </text>
    </comment>
    <comment ref="P45" authorId="0" shapeId="0" xr:uid="{00000000-0006-0000-0200-0000E1000000}">
      <text>
        <r>
          <rPr>
            <sz val="10"/>
            <color rgb="FF000000"/>
            <rFont val="Arial"/>
          </rPr>
          <t>Grant us, Lord, the spirit to think and do what is right, that we, who cannot do anything that is good without you, may by your help be enabled to live according to your will; through Jesus Christ, your Son, our Lord, who lives and reigns with you and the Holy Spirit, one God, now and forever.</t>
        </r>
      </text>
    </comment>
    <comment ref="U45" authorId="0" shapeId="0" xr:uid="{00000000-0006-0000-0200-0000E2000000}">
      <text>
        <r>
          <rPr>
            <sz val="10"/>
            <color rgb="FF000000"/>
            <rFont val="Arial"/>
          </rPr>
          <t>God will be our refuge on the day of judgment.</t>
        </r>
      </text>
    </comment>
    <comment ref="V45" authorId="0" shapeId="0" xr:uid="{00000000-0006-0000-0200-0000E3000000}">
      <text>
        <r>
          <rPr>
            <sz val="10"/>
            <color rgb="FF000000"/>
            <rFont val="Arial"/>
          </rPr>
          <t>The Holy Spirit intercedes for God's people.</t>
        </r>
      </text>
    </comment>
    <comment ref="W45" authorId="0" shapeId="0" xr:uid="{00000000-0006-0000-0200-0000E4000000}">
      <text>
        <r>
          <rPr>
            <sz val="10"/>
            <color rgb="FF000000"/>
            <rFont val="Arial"/>
          </rPr>
          <t>Weeds and wheat, righteous and wicked, will grow side-by-side in this world until the Last Day.</t>
        </r>
      </text>
    </comment>
    <comment ref="O46" authorId="0" shapeId="0" xr:uid="{00000000-0006-0000-0200-0000E5000000}">
      <text>
        <r>
          <rPr>
            <sz val="10"/>
            <color rgb="FF000000"/>
            <rFont val="Arial"/>
          </rPr>
          <t>Walking in God's commands: You shall not give false testimony against your neighbor
We should fear and love God that we do not tell lies about our neighbor, betray him, or give him a bad name, but defend him, speak well of him, and take his words and actions in the kindest possible way.
Through every commandment God blesses us, as we walk in obedience down the righteous path of love for God and our neighbor.</t>
        </r>
      </text>
    </comment>
    <comment ref="P46" authorId="0" shapeId="0" xr:uid="{00000000-0006-0000-0200-0000E6000000}">
      <text>
        <r>
          <rPr>
            <sz val="10"/>
            <color rgb="FF000000"/>
            <rFont val="Arial"/>
          </rPr>
          <t>O Lord, your ears are always open to the prayers of your humble servants, who come to you in Jesus’ name. Teach us always to ask according to your will that we may never fail to obtain the blessings you have promised; through Jesus Christ, your Son, our Lord, who lives and reigns with you and the Holy Spirit, one God, now and forever.</t>
        </r>
      </text>
    </comment>
    <comment ref="U46" authorId="0" shapeId="0" xr:uid="{00000000-0006-0000-0200-0000E7000000}">
      <text>
        <r>
          <rPr>
            <sz val="10"/>
            <color rgb="FF000000"/>
            <rFont val="Arial"/>
          </rPr>
          <t>Solomon asks God for the gift of wisdom and discernment.</t>
        </r>
      </text>
    </comment>
    <comment ref="V46" authorId="0" shapeId="0" xr:uid="{00000000-0006-0000-0200-0000E8000000}">
      <text>
        <r>
          <rPr>
            <sz val="10"/>
            <color rgb="FF000000"/>
            <rFont val="Arial"/>
          </rPr>
          <t>God works all things out for the good of those who love him.</t>
        </r>
      </text>
    </comment>
    <comment ref="W46" authorId="0" shapeId="0" xr:uid="{00000000-0006-0000-0200-0000E9000000}">
      <text>
        <r>
          <rPr>
            <sz val="10"/>
            <color rgb="FF000000"/>
            <rFont val="Arial"/>
          </rPr>
          <t>The kingdom of God is more precious than anything.</t>
        </r>
      </text>
    </comment>
    <comment ref="O47" authorId="0" shapeId="0" xr:uid="{00000000-0006-0000-0200-0000EA000000}">
      <text>
        <r>
          <rPr>
            <sz val="10"/>
            <color rgb="FF000000"/>
            <rFont val="Arial"/>
          </rPr>
          <t>Walking in God's commands: God always gives us the best
We've looked at all the commandments, and we've seen over and over again how God wants the very best for us. His commandments are intended to protect us from harm, to keep us from the deadly effects of sin, and to guide our feet on the path of righteousness. All this is for our good because God want to bless us.
God shows his love for us in infinite ways. His commandments are one more way he guides and keeps us in his loving care.</t>
        </r>
      </text>
    </comment>
    <comment ref="P47" authorId="0" shapeId="0" xr:uid="{00000000-0006-0000-0200-0000EB000000}">
      <text>
        <r>
          <rPr>
            <sz val="10"/>
            <color rgb="FF000000"/>
            <rFont val="Arial"/>
          </rPr>
          <t>O God, you reveal your mighty power chiefly in showing mercy and kindness. Grant us the full measure of your grace that we may obtain your promises and become partakers of your heavenly glory; through Jesus Christ, your Son, our Lord, who lives and reigns with you and the Holy Spirit, one God, now and forever.</t>
        </r>
      </text>
    </comment>
    <comment ref="U47" authorId="0" shapeId="0" xr:uid="{00000000-0006-0000-0200-0000EC000000}">
      <text>
        <r>
          <rPr>
            <sz val="10"/>
            <color rgb="FF000000"/>
            <rFont val="Arial"/>
          </rPr>
          <t>God invites us freely to eat and to drink with him at his feast.</t>
        </r>
      </text>
    </comment>
    <comment ref="V47" authorId="0" shapeId="0" xr:uid="{00000000-0006-0000-0200-0000ED000000}">
      <text>
        <r>
          <rPr>
            <sz val="10"/>
            <color rgb="FF000000"/>
            <rFont val="Arial"/>
          </rPr>
          <t>Nothing can separate us from the love of God that is in Christ Jesus, our Lord.</t>
        </r>
      </text>
    </comment>
    <comment ref="W47" authorId="0" shapeId="0" xr:uid="{00000000-0006-0000-0200-0000EE000000}">
      <text>
        <r>
          <rPr>
            <sz val="10"/>
            <color rgb="FF000000"/>
            <rFont val="Arial"/>
          </rPr>
          <t>Jesus feeds 5,000 people.</t>
        </r>
      </text>
    </comment>
    <comment ref="O48" authorId="0" shapeId="0" xr:uid="{00000000-0006-0000-0200-0000EF000000}">
      <text>
        <r>
          <rPr>
            <sz val="10"/>
            <color rgb="FF000000"/>
            <rFont val="Arial"/>
          </rPr>
          <t>Walking in God's commands: We walk by faith, not by sight
God's Word records what he did in the past. The Bible communicates God's truth to us, so that we can know what he has done.
We ourselves did not witness things that happened in the past, but we trust that they are true because the testimony that speaks of them is true. God also tells us what he will do in the future. We cannot see the future, but we trust that everything that God promises really will take place because we are confident that the One who promises them is faithful and can deliver.
God's Word invites us to believe, and it empowers and enables us to believe.</t>
        </r>
      </text>
    </comment>
    <comment ref="P48" authorId="0" shapeId="0" xr:uid="{00000000-0006-0000-0200-0000F0000000}">
      <text>
        <r>
          <rPr>
            <sz val="10"/>
            <color rgb="FF000000"/>
            <rFont val="Arial"/>
          </rPr>
          <t>Almighty and everlasting God, you are always more ready to hear than we to pray, and to give more than we either desire or deserve. Pour upon us the abundance of your mercy, forgiving us those things of which our conscience is afraid, and giving us those good things for which we are not worthy to ask, except through the merits and mediation of your Son, Jesus Christ our Lord, who lives and reigns with you and the Holy Spirit, one God, now and forever.</t>
        </r>
      </text>
    </comment>
    <comment ref="Q48" authorId="0" shapeId="0" xr:uid="{00000000-0006-0000-0200-0000F1000000}">
      <text>
        <r>
          <rPr>
            <sz val="10"/>
            <color rgb="FF000000"/>
            <rFont val="Arial"/>
          </rPr>
          <t>Alleluia! Now faith is being sure of what we hope for and certain of what we do not see. Alleluia! (Hebrews 11:1)</t>
        </r>
      </text>
    </comment>
    <comment ref="R48" authorId="0" shapeId="0" xr:uid="{00000000-0006-0000-0200-0000F2000000}">
      <text>
        <r>
          <rPr>
            <sz val="10"/>
            <color rgb="FF000000"/>
            <rFont val="Arial"/>
          </rPr>
          <t>Verse will be spoken by the pastor. Alleluia refrain is sung by the congregation.</t>
        </r>
      </text>
    </comment>
    <comment ref="U48" authorId="0" shapeId="0" xr:uid="{00000000-0006-0000-0200-0000F3000000}">
      <text>
        <r>
          <rPr>
            <sz val="10"/>
            <color rgb="FF000000"/>
            <rFont val="Arial"/>
          </rPr>
          <t>The Lord reinvigorates Elijah and strengthens him for the work he still has to do.</t>
        </r>
      </text>
    </comment>
    <comment ref="V48" authorId="0" shapeId="0" xr:uid="{00000000-0006-0000-0200-0000F4000000}">
      <text>
        <r>
          <rPr>
            <sz val="10"/>
            <color rgb="FF000000"/>
            <rFont val="Arial"/>
          </rPr>
          <t>Paul prays fervently that the Jews may repent and believe in Jesus for forgiveness.</t>
        </r>
      </text>
    </comment>
    <comment ref="W48" authorId="0" shapeId="0" xr:uid="{00000000-0006-0000-0200-0000F5000000}">
      <text>
        <r>
          <rPr>
            <sz val="10"/>
            <color rgb="FF000000"/>
            <rFont val="Arial"/>
          </rPr>
          <t>Jesus shows his power by walking on water, but Peter shows lack of trust.</t>
        </r>
      </text>
    </comment>
    <comment ref="O49" authorId="0" shapeId="0" xr:uid="{00000000-0006-0000-0200-0000F6000000}">
      <text>
        <r>
          <rPr>
            <sz val="10"/>
            <color rgb="FF000000"/>
            <rFont val="Arial"/>
          </rPr>
          <t>For people of every nation
When God's Son came into the world he was born into the Jewish race. He was raised in Jewish culture. He kept the Jewish law, and he was the fulfillment of all the Jewish prophecies of the Old Testament.
But Jesus didn't just come to save the Jews. It is true that he walked and worked among the lost sheep of Israel, but he came to be Savior of all people, Jews and Gentiles alike.
Today the voice of Jesus Christ goes out into all the world. He invites all people everywhere to know his forgiveness, to trust in his death and resurrection, and to be saved eternally. Heaven is open to all, and even today the good news of salvation is proclaimed around the globe.</t>
        </r>
      </text>
    </comment>
    <comment ref="P49" authorId="0" shapeId="0" xr:uid="{00000000-0006-0000-0200-0000F7000000}">
      <text>
        <r>
          <rPr>
            <sz val="10"/>
            <color rgb="FF000000"/>
            <rFont val="Arial"/>
          </rPr>
          <t>Almighty and merciful God, it is only by your gift of grace that we come into your presence and offer true and faithful service. Grant that our worship on earth may always be pleasing to you, and in the life to come give us the fulfillment of what you have promised; through Jesus Christ, your Son, our Lord, who lives and reigns with you and the Holy Spirit, one God, now and forever.</t>
        </r>
      </text>
    </comment>
    <comment ref="Q49" authorId="0" shapeId="0" xr:uid="{00000000-0006-0000-0200-0000F8000000}">
      <text>
        <r>
          <rPr>
            <sz val="10"/>
            <color rgb="FF000000"/>
            <rFont val="Arial"/>
          </rPr>
          <t>Alleluia! The Word of God is living and active, sharper than any two-edged sword, discerning the thoughts and intentions of the heart. Alleluia!</t>
        </r>
      </text>
    </comment>
    <comment ref="R49" authorId="0" shapeId="0" xr:uid="{00000000-0006-0000-0200-0000F9000000}">
      <text>
        <r>
          <rPr>
            <sz val="10"/>
            <color rgb="FF000000"/>
            <rFont val="Arial"/>
          </rPr>
          <t>Verse will be spoken by the pastor. Alleluia refrain is sung by the congregation.</t>
        </r>
      </text>
    </comment>
    <comment ref="U49" authorId="0" shapeId="0" xr:uid="{00000000-0006-0000-0200-0000FA000000}">
      <text>
        <r>
          <rPr>
            <sz val="10"/>
            <color rgb="FF000000"/>
            <rFont val="Arial"/>
          </rPr>
          <t>People from all nations will come to the house of the Lord to worship him.</t>
        </r>
      </text>
    </comment>
    <comment ref="V49" authorId="0" shapeId="0" xr:uid="{00000000-0006-0000-0200-0000FB000000}">
      <text>
        <r>
          <rPr>
            <sz val="10"/>
            <color rgb="FF000000"/>
            <rFont val="Arial"/>
          </rPr>
          <t>God shows mercy to all people</t>
        </r>
      </text>
    </comment>
    <comment ref="W49" authorId="0" shapeId="0" xr:uid="{00000000-0006-0000-0200-0000FC000000}">
      <text>
        <r>
          <rPr>
            <sz val="10"/>
            <color rgb="FF000000"/>
            <rFont val="Arial"/>
          </rPr>
          <t>A Canaanite woman exhibits great faith.</t>
        </r>
      </text>
    </comment>
    <comment ref="O50" authorId="0" shapeId="0" xr:uid="{00000000-0006-0000-0200-0000FD000000}">
      <text>
        <r>
          <rPr>
            <sz val="10"/>
            <color rgb="FF000000"/>
            <rFont val="Arial"/>
          </rPr>
          <t>The eternal question
Why?
In the Bible God gives us answers, but God doesn't give us all the answers. There are things we might like to know that God doesn't tell us. There are things we might like to understand that we simply cannot grasp. No matter how hard we try, we will never be able to fit the mind of God into our own brains.
God tells us everything we need to know for our salvation. We know we have been rescued by his grace, by the blood of Jesus, through faith in his Son, purely by his mercy, without any merit or worthiness on our part. There are more questions that we might like answered, but we'll have to wait until heaven.</t>
        </r>
      </text>
    </comment>
    <comment ref="P50" authorId="0" shapeId="0" xr:uid="{00000000-0006-0000-0200-0000FE000000}">
      <text>
        <r>
          <rPr>
            <sz val="10"/>
            <color rgb="FF000000"/>
            <rFont val="Arial"/>
          </rPr>
          <t>Almighty and everlasting God, give us an increase of faith, hope, and love; and, that we may obtain what you promise, make us love what you command; through Jesus Christ, your Son, our Lord, who lives and reigns with you and the Holy Spirit, one God, now and forever.</t>
        </r>
      </text>
    </comment>
    <comment ref="Q50" authorId="0" shapeId="0" xr:uid="{00000000-0006-0000-0200-0000FF000000}">
      <text>
        <r>
          <rPr>
            <sz val="10"/>
            <color rgb="FF000000"/>
            <rFont val="Arial"/>
          </rPr>
          <t>Alleluia! Jesus Christ has destroyed death and brought life and immortality to light through the gospel. Alleluia!</t>
        </r>
      </text>
    </comment>
    <comment ref="R50" authorId="0" shapeId="0" xr:uid="{00000000-0006-0000-0200-000000010000}">
      <text>
        <r>
          <rPr>
            <sz val="10"/>
            <color rgb="FF000000"/>
            <rFont val="Arial"/>
          </rPr>
          <t>Verse will be spoken by the pastor. Alleluia refrain is sung by the congregation.</t>
        </r>
      </text>
    </comment>
    <comment ref="T50" authorId="0" shapeId="0" xr:uid="{00000000-0006-0000-0200-000001010000}">
      <text>
        <r>
          <rPr>
            <sz val="10"/>
            <color rgb="FF000000"/>
            <rFont val="Arial"/>
          </rPr>
          <t>Everything viewed in light of God's love.</t>
        </r>
      </text>
    </comment>
    <comment ref="U50" authorId="0" shapeId="0" xr:uid="{00000000-0006-0000-0200-000002010000}">
      <text>
        <r>
          <rPr>
            <sz val="10"/>
            <color rgb="FF000000"/>
            <rFont val="Arial"/>
          </rPr>
          <t>In the Old Testament God chose the Israelite nation to be his very own special, chosen people, and he delivered them from bondage in slavery.</t>
        </r>
      </text>
    </comment>
    <comment ref="V50" authorId="0" shapeId="0" xr:uid="{00000000-0006-0000-0200-000003010000}">
      <text>
        <r>
          <rPr>
            <sz val="10"/>
            <color rgb="FF000000"/>
            <rFont val="Arial"/>
          </rPr>
          <t>God's ways are beyond comprehension.</t>
        </r>
      </text>
    </comment>
    <comment ref="W50" authorId="0" shapeId="0" xr:uid="{00000000-0006-0000-0200-000004010000}">
      <text>
        <r>
          <rPr>
            <sz val="10"/>
            <color rgb="FF000000"/>
            <rFont val="Arial"/>
          </rPr>
          <t>Jesus promises that his church will endure.</t>
        </r>
      </text>
    </comment>
    <comment ref="O51" authorId="0" shapeId="0" xr:uid="{00000000-0006-0000-0200-000005010000}">
      <text>
        <r>
          <rPr>
            <sz val="10"/>
            <color rgb="FF000000"/>
            <rFont val="Arial"/>
          </rPr>
          <t>A difficult cross to bear
When we have false expectations it's easy to become disillusioned. If we expect the life of a Christian on earth to be filled with perpetual happiness, we will be disappointed. In this life we carry a heavy cross, the cross of being Jesus' disciples. We will through many trials and hardships enter the kingdom of heaven.
But God blesses us through the heavy cross we carry. We rejoice in our suffering because suffering produces perseverance, perseverance character, and character hope (Romans 5). Through the crosses he lays on us, our loving Father strengthens us and equips us to glorify him. Even in hardships we honor and praise our loving Savior God!</t>
        </r>
      </text>
    </comment>
    <comment ref="P51" authorId="0" shapeId="0" xr:uid="{00000000-0006-0000-0200-000006010000}">
      <text>
        <r>
          <rPr>
            <sz val="10"/>
            <color rgb="FF000000"/>
            <rFont val="Arial"/>
          </rPr>
          <t>O Lord Jesus Christ, preserve the congregation of believers with your never-failing mercy. Help us avoid whatever is wicked and harmful, and guide us in the way that leads to our salvation; for you live and reign with the Father and the Holy Spirit, one God, now and forever.</t>
        </r>
      </text>
    </comment>
    <comment ref="Q51" authorId="0" shapeId="0" xr:uid="{00000000-0006-0000-0200-000007010000}">
      <text>
        <r>
          <rPr>
            <sz val="10"/>
            <color rgb="FF000000"/>
            <rFont val="Arial"/>
          </rPr>
          <t>Alleluia! Your words became a joy to me, and the delight of my heart. Alleluia!</t>
        </r>
      </text>
    </comment>
    <comment ref="R51" authorId="0" shapeId="0" xr:uid="{00000000-0006-0000-0200-000008010000}">
      <text>
        <r>
          <rPr>
            <sz val="10"/>
            <color rgb="FF000000"/>
            <rFont val="Arial"/>
          </rPr>
          <t>Verse will be spoken by the pastor. Alleluia refrain is sung by the congregation.</t>
        </r>
      </text>
    </comment>
    <comment ref="U51" authorId="0" shapeId="0" xr:uid="{00000000-0006-0000-0200-000009010000}">
      <text>
        <r>
          <rPr>
            <sz val="10"/>
            <color rgb="FF000000"/>
            <rFont val="Arial"/>
          </rPr>
          <t>Jeremiah had a difficult ministry. His task was to call rebellious people to repent of their sins and to offer hope to the penitent.</t>
        </r>
      </text>
    </comment>
    <comment ref="V51" authorId="0" shapeId="0" xr:uid="{00000000-0006-0000-0200-00000A010000}">
      <text>
        <r>
          <rPr>
            <sz val="10"/>
            <color rgb="FF000000"/>
            <rFont val="Arial"/>
          </rPr>
          <t>We are living sacrifices of thanks to God.</t>
        </r>
      </text>
    </comment>
    <comment ref="W51" authorId="0" shapeId="0" xr:uid="{00000000-0006-0000-0200-00000B010000}">
      <text>
        <r>
          <rPr>
            <sz val="10"/>
            <color rgb="FF000000"/>
            <rFont val="Arial"/>
          </rPr>
          <t>The cross is necessary for Christ and for the Christian.</t>
        </r>
      </text>
    </comment>
    <comment ref="O52" authorId="0" shapeId="0" xr:uid="{00000000-0006-0000-0200-00000C010000}">
      <text>
        <r>
          <rPr>
            <sz val="10"/>
            <color rgb="FF000000"/>
            <rFont val="Arial"/>
          </rPr>
          <t>Win your brother or sister with love
One of the hardest things we have to do is confront someone who is doing something sinful. The world says we should just tolerate it and look the other way. Our own heart recoils from the conflict. Our relationship with the person might be broken. It could be a rocky road to reconciliation.
But our purpose in confronting sin is always to show genuine love. We don't go looking for reasons to criticize and condemn, but when we love someone we want to gently lead them away from their straying path back to a walk with Jesus. Our goal is repentance, reconciliation and forgiveness in Jesus' love.</t>
        </r>
      </text>
    </comment>
    <comment ref="P52" authorId="0" shapeId="0" xr:uid="{00000000-0006-0000-0200-00000D010000}">
      <text>
        <r>
          <rPr>
            <sz val="10"/>
            <color rgb="FF000000"/>
            <rFont val="Arial"/>
          </rPr>
          <t>Let your continual mercy, O Lord, cleanse and defend your Church; and because it cannot continue in safety with your help, protect and govern it always by your goodness; for you live and reign with the Father and the Holy Spirit, one God, now and forever.</t>
        </r>
      </text>
    </comment>
    <comment ref="U52" authorId="0" shapeId="0" xr:uid="{00000000-0006-0000-0200-00000E010000}">
      <text>
        <r>
          <rPr>
            <sz val="10"/>
            <color rgb="FF000000"/>
            <rFont val="Arial"/>
          </rPr>
          <t>As the watchman on the tower must warn of the coming enemy, the spiritual watchmen cares for the spiritual welfare of those who drift into sin, and he calls them to repentance.</t>
        </r>
      </text>
    </comment>
    <comment ref="V52" authorId="0" shapeId="0" xr:uid="{00000000-0006-0000-0200-00000F010000}">
      <text>
        <r>
          <rPr>
            <sz val="10"/>
            <color rgb="FF000000"/>
            <rFont val="Arial"/>
          </rPr>
          <t>The governing authorities are God's representatives to be respected and obeyed.</t>
        </r>
      </text>
    </comment>
    <comment ref="W52" authorId="0" shapeId="0" xr:uid="{00000000-0006-0000-0200-000010010000}">
      <text>
        <r>
          <rPr>
            <sz val="10"/>
            <color rgb="FF000000"/>
            <rFont val="Arial"/>
          </rPr>
          <t>Jesus gives his Church the means and the motive to seek those who stray.</t>
        </r>
      </text>
    </comment>
    <comment ref="O53" authorId="0" shapeId="0" xr:uid="{00000000-0006-0000-0200-000011010000}">
      <text>
        <r>
          <rPr>
            <sz val="10"/>
            <color rgb="FF000000"/>
            <rFont val="Arial"/>
          </rPr>
          <t>Free forgiveness
It's natural to think of conditional forgiveness. "I'll forgive someone if . . ." Even when we say we've forgiven, we can easily hold back love and affection until certain conditions are met. We might feel forgiveness is for the worthy and the deserving, for those who show genuine sorrow, grovel appropriately, and don't make the same mistake twice.
God's forgiveness is very different. It comes with no strings attached. There are no conditions to us. The cost was already paid by Jesus. God redeemed and forgave us even before we sinned and before we ever asked for forgiveness! We cannot even begin to fathom the complete, full, and unconditional nature of the forgiveness that God offers us in Jesus.</t>
        </r>
      </text>
    </comment>
    <comment ref="P53" authorId="0" shapeId="0" xr:uid="{00000000-0006-0000-0200-000012010000}">
      <text>
        <r>
          <rPr>
            <sz val="10"/>
            <color rgb="FF000000"/>
            <rFont val="Arial"/>
          </rPr>
          <t>Lord, we pray that your mercy and grace may always go before and follow after us that, loving you with undivided hearts, we may be ready for every good and useful work; through your Son, Jesus Christ our Lord, who lives and reigns with you and the Holy Spirit, one God, now and forever.</t>
        </r>
      </text>
    </comment>
    <comment ref="Q53" authorId="0" shapeId="0" xr:uid="{00000000-0006-0000-0200-000013010000}">
      <text>
        <r>
          <rPr>
            <sz val="10"/>
            <color rgb="FF000000"/>
            <rFont val="Arial"/>
          </rPr>
          <t>Alleluia! Everything that was written in the past was written to teach us, so that through endurance and the encouragement of the Scriptures we might have hope. Alleluia!</t>
        </r>
      </text>
    </comment>
    <comment ref="U53" authorId="0" shapeId="0" xr:uid="{00000000-0006-0000-0200-000014010000}">
      <text>
        <r>
          <rPr>
            <sz val="10"/>
            <color rgb="FF000000"/>
            <rFont val="Arial"/>
          </rPr>
          <t>Joseph forgave his brothers' sins against him, knowing that God had worked everything out for their good.</t>
        </r>
      </text>
    </comment>
    <comment ref="V53" authorId="0" shapeId="0" xr:uid="{00000000-0006-0000-0200-000015010000}">
      <text>
        <r>
          <rPr>
            <sz val="10"/>
            <color rgb="FF000000"/>
            <rFont val="Arial"/>
          </rPr>
          <t>We are not our own. We belong to the Lord, and we live in ways that are considerate of others.</t>
        </r>
      </text>
    </comment>
    <comment ref="W53" authorId="0" shapeId="0" xr:uid="{00000000-0006-0000-0200-000016010000}">
      <text>
        <r>
          <rPr>
            <sz val="10"/>
            <color rgb="FF000000"/>
            <rFont val="Arial"/>
          </rPr>
          <t>We forgive freely because we ourselves have been freely forgiven.</t>
        </r>
      </text>
    </comment>
    <comment ref="O54" authorId="0" shapeId="0" xr:uid="{00000000-0006-0000-0200-000017010000}">
      <text>
        <r>
          <rPr>
            <sz val="10"/>
            <color rgb="FF000000"/>
            <rFont val="Arial"/>
          </rPr>
          <t>Joy in Jesus: In life and in death
Today we begin a brief mini-series on lessons from the book of Philippians. The Apostle Paul's letter to the Philippians is known as "The Epistle of Joy." Even though Paul wrote this letter while he was imprisoned in Rome, it is filled with a spirit of upbeat optimism and Christian joy reflected in even the most adverse circumstances.
There's a huge difference between happiness and joy. Happiness is circumstantial; it hinges on what "happens." Joy is internal, a gift from God, an outlook on life and confidence in death. It is a gift and fruit of God's Spirit.</t>
        </r>
      </text>
    </comment>
    <comment ref="P54" authorId="0" shapeId="0" xr:uid="{00000000-0006-0000-0200-000018010000}">
      <text>
        <r>
          <rPr>
            <sz val="10"/>
            <color rgb="FF000000"/>
            <rFont val="Arial"/>
          </rPr>
          <t>Lord God, you call us to work in your kingdom an leave no one standing idle. Help us to order our lives by your wisdom and to serve you in willing obedience; through Jesus Christ, your Son, our Lord, who lives and reigns with you and the Holy Spirit, one God, now and forever.</t>
        </r>
      </text>
    </comment>
    <comment ref="R54" authorId="0" shapeId="0" xr:uid="{00000000-0006-0000-0200-000019010000}">
      <text>
        <r>
          <rPr>
            <sz val="10"/>
            <color rgb="FF000000"/>
            <rFont val="Arial"/>
          </rPr>
          <t>Verse will be spoken by the pastor. Alleluia refrain is sung by the congregation.</t>
        </r>
      </text>
    </comment>
    <comment ref="U54" authorId="0" shapeId="0" xr:uid="{00000000-0006-0000-0200-00001A010000}">
      <text>
        <r>
          <rPr>
            <sz val="10"/>
            <color rgb="FF000000"/>
            <rFont val="Arial"/>
          </rPr>
          <t>God's ways are not the ways of human beings.</t>
        </r>
      </text>
    </comment>
    <comment ref="V54" authorId="0" shapeId="0" xr:uid="{00000000-0006-0000-0200-00001B010000}">
      <text>
        <r>
          <rPr>
            <sz val="10"/>
            <color rgb="FF000000"/>
            <rFont val="Arial"/>
          </rPr>
          <t>For to me to live is Christ and to die is gain.</t>
        </r>
      </text>
    </comment>
    <comment ref="W54" authorId="0" shapeId="0" xr:uid="{00000000-0006-0000-0200-00001C010000}">
      <text>
        <r>
          <rPr>
            <sz val="10"/>
            <color rgb="FF000000"/>
            <rFont val="Arial"/>
          </rPr>
          <t>Jesus illustrates a truth about the kingdom of heaven: the last will be first, and the first will be last.</t>
        </r>
      </text>
    </comment>
    <comment ref="O55" authorId="0" shapeId="0" xr:uid="{00000000-0006-0000-0200-00001D010000}">
      <text>
        <r>
          <rPr>
            <sz val="10"/>
            <color rgb="FF000000"/>
            <rFont val="Arial"/>
          </rPr>
          <t>Joy in Jesus: Humble service to others
Humility is not about being critical of ourselves and running ourselves down. Humility is considering others better than ourselves. 
When we do things for other people we can do them with a bad attitude. We can be grumpy and complain about everything we "have to do." Or we can look at every opportunity to serve others as joyful opportunities to brighten someone else's life and bring them joy through Jesus.</t>
        </r>
      </text>
    </comment>
    <comment ref="P55" authorId="0" shapeId="0" xr:uid="{00000000-0006-0000-0200-00001E010000}">
      <text>
        <r>
          <rPr>
            <sz val="10"/>
            <color rgb="FF000000"/>
            <rFont val="Arial"/>
          </rPr>
          <t>Mercifully grant, O God, that your Holy Spirit may in all things direct and rule our hearts, for without your help we are unable to please you; through Jesus Christ, your Son, our Lord, who lives and reigns with you and the Holy Spirit, one God, now and forever.</t>
        </r>
      </text>
    </comment>
    <comment ref="Q55" authorId="0" shapeId="0" xr:uid="{00000000-0006-0000-0200-00001F010000}">
      <text>
        <r>
          <rPr>
            <sz val="10"/>
            <color rgb="FF000000"/>
            <rFont val="Arial"/>
          </rPr>
          <t>Alleluia! At the name of Jesus every knee should bow, and every tongue confess that Jesus Christ is Lord, to the glory of God the Father. Alleluia!</t>
        </r>
      </text>
    </comment>
    <comment ref="U55" authorId="0" shapeId="0" xr:uid="{00000000-0006-0000-0200-000020010000}">
      <text>
        <r>
          <rPr>
            <sz val="10"/>
            <color rgb="FF000000"/>
            <rFont val="Arial"/>
          </rPr>
          <t>God's ways are just. The soul who sins is the one who will death. God does not condemn one person for the sins of another.</t>
        </r>
      </text>
    </comment>
    <comment ref="V55" authorId="0" shapeId="0" xr:uid="{00000000-0006-0000-0200-000021010000}">
      <text>
        <r>
          <rPr>
            <sz val="10"/>
            <color rgb="FF000000"/>
            <rFont val="Arial"/>
          </rPr>
          <t>We walk in the way of Christ Jesus, who humbled himself even to the point of death and was exalted by his Father.</t>
        </r>
      </text>
    </comment>
    <comment ref="W55" authorId="0" shapeId="0" xr:uid="{00000000-0006-0000-0200-000022010000}">
      <text>
        <r>
          <rPr>
            <sz val="10"/>
            <color rgb="FF000000"/>
            <rFont val="Arial"/>
          </rPr>
          <t>Blessed are they who hear the Word of God and obey it.</t>
        </r>
      </text>
    </comment>
    <comment ref="O56" authorId="0" shapeId="0" xr:uid="{00000000-0006-0000-0200-000023010000}">
      <text>
        <r>
          <rPr>
            <sz val="10"/>
            <color rgb="FF000000"/>
            <rFont val="Arial"/>
          </rPr>
          <t>Joy in Jesus: Looking forward to heaven
This life brings joys and sorrows, happiness and heartache. Finally we must all yield to death, leave this life, and enter eternity.
Jesus fills our hearts with joy, as we look forward to being with him in heaven. Whatever light and momentary troubles we experience in this life, they are nothing compared with the surpassing joy that we will experience when Jesus takes us to be at home with him. Our bodies will be glorified and perfected, and our joy will never end.</t>
        </r>
      </text>
    </comment>
    <comment ref="P56" authorId="0" shapeId="0" xr:uid="{00000000-0006-0000-0200-000024010000}">
      <text>
        <r>
          <rPr>
            <sz val="10"/>
            <color rgb="FF000000"/>
            <rFont val="Arial"/>
          </rPr>
          <t>Almighty God, in your bountiful goodness keep us safe from every evil of body and soul. Make us ready, with cheerful hearts, to do whatever pleases you; through Jesus Christ, your Son, our Lord, who lives and reigns with you and the Holy Spirit, one God, now and forever.</t>
        </r>
      </text>
    </comment>
    <comment ref="Q56" authorId="0" shapeId="0" xr:uid="{00000000-0006-0000-0200-000025010000}">
      <text>
        <r>
          <rPr>
            <sz val="10"/>
            <color rgb="FF000000"/>
            <rFont val="Arial"/>
          </rPr>
          <t>Alleluia! I will proclaim your name to my people; in the midst of the congregation I will praise you. Alleluia!</t>
        </r>
      </text>
    </comment>
    <comment ref="U56" authorId="0" shapeId="0" xr:uid="{00000000-0006-0000-0200-000026010000}">
      <text>
        <r>
          <rPr>
            <sz val="10"/>
            <color rgb="FF000000"/>
            <rFont val="Arial"/>
          </rPr>
          <t>The Lord was angry with Israel because the nation rebelled and did not produce the fruit of righteousness.</t>
        </r>
      </text>
    </comment>
    <comment ref="V56" authorId="0" shapeId="0" xr:uid="{00000000-0006-0000-0200-000027010000}">
      <text>
        <r>
          <rPr>
            <sz val="10"/>
            <color rgb="FF000000"/>
            <rFont val="Arial"/>
          </rPr>
          <t>We look forward to being glorified with Jesus in heaven.</t>
        </r>
      </text>
    </comment>
    <comment ref="W56" authorId="0" shapeId="0" xr:uid="{00000000-0006-0000-0200-000028010000}">
      <text>
        <r>
          <rPr>
            <sz val="10"/>
            <color rgb="FF000000"/>
            <rFont val="Arial"/>
          </rPr>
          <t>The Lord looks for good fruit from those who belong to him.</t>
        </r>
      </text>
    </comment>
    <comment ref="O57" authorId="0" shapeId="0" xr:uid="{00000000-0006-0000-0200-000029010000}">
      <text>
        <r>
          <rPr>
            <sz val="10"/>
            <color rgb="FF000000"/>
            <rFont val="Arial"/>
          </rPr>
          <t>Joy in Jesus: Contentment and peace
Life on earth is full of anxieties and worries. Our hearts are unsettled and troubled about many things: our jobs, our relationships, our finances, our health, and more.
In the face of life's trials, the Epistle of Joy tells us "Rejoice in the Lord always!" When we rest in him, God removes our anxieties and gives us peace. When we trust in him, we are confident that we can do all things through him who gives us strength. The secret of contentment is to be content in Jesus and everything he brings.</t>
        </r>
      </text>
    </comment>
    <comment ref="P57" authorId="0" shapeId="0" xr:uid="{00000000-0006-0000-0200-00002A010000}">
      <text>
        <r>
          <rPr>
            <sz val="10"/>
            <color rgb="FF000000"/>
            <rFont val="Arial"/>
          </rPr>
          <t>Grant, O merciful Lord, to your faithful people pardon and peace that they may be cleansed from all their sins and serve you with a quiet mind; through Jesus Christ, your Son, our Lord, who lives and reigns with you and the Holy Spirit, one God, now and forever.</t>
        </r>
      </text>
    </comment>
    <comment ref="U57" authorId="0" shapeId="0" xr:uid="{00000000-0006-0000-0200-00002B010000}">
      <text>
        <r>
          <rPr>
            <sz val="10"/>
            <color rgb="FF000000"/>
            <rFont val="Arial"/>
          </rPr>
          <t>On the mountain of the Lord the redeemed will celebrate his salvation.</t>
        </r>
      </text>
    </comment>
    <comment ref="V57" authorId="0" shapeId="0" xr:uid="{00000000-0006-0000-0200-00002C010000}">
      <text>
        <r>
          <rPr>
            <sz val="10"/>
            <color rgb="FF000000"/>
            <rFont val="Arial"/>
          </rPr>
          <t>Even in times of trouble, Jesus drives away our worries and anxieties and gives us a deep and lasting joy.</t>
        </r>
      </text>
    </comment>
    <comment ref="W57" authorId="0" shapeId="0" xr:uid="{00000000-0006-0000-0200-00002D010000}">
      <text>
        <r>
          <rPr>
            <sz val="10"/>
            <color rgb="FF000000"/>
            <rFont val="Arial"/>
          </rPr>
          <t>Jesus tells sheep among wolves to stand firm and be saved.</t>
        </r>
      </text>
    </comment>
    <comment ref="O58" authorId="0" shapeId="0" xr:uid="{00000000-0006-0000-0200-00002E010000}">
      <text>
        <r>
          <rPr>
            <sz val="10"/>
            <color rgb="FF000000"/>
            <rFont val="Arial"/>
          </rPr>
          <t>Set Free in Christ: The 500th Anniversary of the Lutheran Reformation
The gospel of Jesus Christ sets us free. It releases us from the death sentence of sin. It liberates us from slavery to Satan. It sets us free to love God and to serve God--joyfully, thankfully, eternally!
The freedom of forgiveness defines who we are. We have been saved from God's wrath by grace alone, by faith alone, by Scripture alone. Our conscience is subject to none but Christ himself, bound only by his freedom-giving Word. Today we celebrate the ultimate day of independence from every spiritual shackle that had chained us. On this 500th anniversary of the Lutheran Reformation we praise God because his truth has set us free!</t>
        </r>
      </text>
    </comment>
    <comment ref="P58" authorId="0" shapeId="0" xr:uid="{00000000-0006-0000-0200-00002F010000}">
      <text>
        <r>
          <rPr>
            <sz val="10"/>
            <color rgb="FF000000"/>
            <rFont val="Arial"/>
          </rPr>
          <t>Gracious Lord, our refuge and strength, pour out your Holy Spirit on your faithful people. Keep them steadfast in your Word, protect and comfort them in all temptations, defend them against all their enemies, and bestow on the Church your saving peace; through your Son, Jesus Christ our Lord, who lives and reigns with you and the Holy Spirit, one God, now and forever.</t>
        </r>
      </text>
    </comment>
    <comment ref="Q58" authorId="0" shapeId="0" xr:uid="{00000000-0006-0000-0200-000030010000}">
      <text>
        <r>
          <rPr>
            <sz val="10"/>
            <color rgb="FF000000"/>
            <rFont val="Arial"/>
          </rPr>
          <t>Alleluia! If you continue in my Word, you are truly my disciples, and you will know the truth, and the truth will make you free. Alleluia!</t>
        </r>
      </text>
    </comment>
    <comment ref="U58" authorId="0" shapeId="0" xr:uid="{00000000-0006-0000-0200-000031010000}">
      <text>
        <r>
          <rPr>
            <sz val="10"/>
            <color rgb="FF000000"/>
            <rFont val="Arial"/>
          </rPr>
          <t>Daniel refused to stop praying to God, so he was thrown into the lion's den.</t>
        </r>
      </text>
    </comment>
    <comment ref="V58" authorId="0" shapeId="0" xr:uid="{00000000-0006-0000-0200-000032010000}">
      <text>
        <r>
          <rPr>
            <sz val="10"/>
            <color rgb="FF000000"/>
            <rFont val="Arial"/>
          </rPr>
          <t>We have been set free from the curse and condemnation of the law to serve God in freedom.</t>
        </r>
      </text>
    </comment>
    <comment ref="W58" authorId="0" shapeId="0" xr:uid="{00000000-0006-0000-0200-000033010000}">
      <text>
        <r>
          <rPr>
            <sz val="10"/>
            <color rgb="FF000000"/>
            <rFont val="Arial"/>
          </rPr>
          <t>God will give his messengers the words to speak when they share the good news. He who stands firm to the end will be saved.</t>
        </r>
      </text>
    </comment>
    <comment ref="P59" authorId="0" shapeId="0" xr:uid="{00000000-0006-0000-0200-000034010000}">
      <text>
        <r>
          <rPr>
            <sz val="10"/>
            <color rgb="FF000000"/>
            <rFont val="Arial"/>
          </rPr>
          <t>Lord God Almighty, so rule and govern our hearts and minds by your Holy Spirit that we may always look forward to the end of this present evil age and to the day of your righteous judgment. Keep us steadfast in true and living faith and present us at last holy and blameless before you; through your Son, Jesus Christ our Lord, who lives and reigns with you and the Holy Spirit, one God, now and forever.</t>
        </r>
      </text>
    </comment>
    <comment ref="Q59" authorId="0" shapeId="0" xr:uid="{00000000-0006-0000-0200-000035010000}">
      <text>
        <r>
          <rPr>
            <sz val="10"/>
            <color rgb="FF000000"/>
            <rFont val="Arial"/>
          </rPr>
          <t>Alleluia! Watch therefore, for you do not know on what day your Lord is coming. Alleluia!</t>
        </r>
      </text>
    </comment>
    <comment ref="U59" authorId="0" shapeId="0" xr:uid="{00000000-0006-0000-0200-000036010000}">
      <text>
        <r>
          <rPr>
            <sz val="10"/>
            <color rgb="FF000000"/>
            <rFont val="Arial"/>
          </rPr>
          <t>The Lord will return on the Day of Judgment to judge the living and the dead.</t>
        </r>
      </text>
    </comment>
    <comment ref="V59" authorId="0" shapeId="0" xr:uid="{00000000-0006-0000-0200-000037010000}">
      <text>
        <r>
          <rPr>
            <sz val="10"/>
            <color rgb="FF000000"/>
            <rFont val="Arial"/>
          </rPr>
          <t>Watch and be ready for the day when the Lord comes to judge all the human race.</t>
        </r>
      </text>
    </comment>
    <comment ref="W59" authorId="0" shapeId="0" xr:uid="{00000000-0006-0000-0200-000038010000}">
      <text>
        <r>
          <rPr>
            <sz val="10"/>
            <color rgb="FF000000"/>
            <rFont val="Arial"/>
          </rPr>
          <t>On the day of judgment the King will separate the believers from the unbelievers as sheep from goats.</t>
        </r>
      </text>
    </comment>
    <comment ref="O60" authorId="0" shapeId="0" xr:uid="{00000000-0006-0000-0200-000039010000}">
      <text>
        <r>
          <rPr>
            <sz val="10"/>
            <color rgb="FF000000"/>
            <rFont val="Arial"/>
          </rPr>
          <t>The Feast of Victory
We have said good-bye to loved ones. People close to us have fought the good fight, finished the race, and kept the faith in Jesus. They died victorious in Christ, and now they enjoy the fruits of Jesus' victory.
In today's lessons heaven is compared to a wedding banquet, a feast of victory that goes on and on forever. God's saints--his people who trusted in Jesus--are invited to feast at a party of the victorious, and the celebration will never end.</t>
        </r>
      </text>
    </comment>
    <comment ref="P60" authorId="0" shapeId="0" xr:uid="{00000000-0006-0000-0200-00003A010000}">
      <text>
        <r>
          <rPr>
            <sz val="10"/>
            <color rgb="FF000000"/>
            <rFont val="Arial"/>
          </rPr>
          <t>Almighty God and Savior, you have set the final day and hour when we shall be delivered from this world of sin and death. Keep us ever watchful for the coming of your Son that we may sit with him and all your holy ones at the marriage feast in heaven; through Jesus Christ, your Son, our Lord, who lives and reigns with you and the Holy Spirit, one God, now and forever.</t>
        </r>
      </text>
    </comment>
    <comment ref="Q60" authorId="0" shapeId="0" xr:uid="{00000000-0006-0000-0200-00003B010000}">
      <text>
        <r>
          <rPr>
            <sz val="10"/>
            <color rgb="FF000000"/>
            <rFont val="Arial"/>
          </rPr>
          <t>Alleluia! They are before the throne of God and serve him day and night in his temple. Alleluia!</t>
        </r>
      </text>
    </comment>
    <comment ref="U60" authorId="0" shapeId="0" xr:uid="{00000000-0006-0000-0200-00003C010000}">
      <text>
        <r>
          <rPr>
            <sz val="10"/>
            <color rgb="FF000000"/>
            <rFont val="Arial"/>
          </rPr>
          <t>Awake and dress yourselves in garments of splendor.</t>
        </r>
      </text>
    </comment>
    <comment ref="V60" authorId="0" shapeId="0" xr:uid="{00000000-0006-0000-0200-00003D010000}">
      <text>
        <r>
          <rPr>
            <sz val="10"/>
            <color rgb="FF000000"/>
            <rFont val="Arial"/>
          </rPr>
          <t>We look forward to being reunited with the saints of God who died in faith. We have the hope of seeing them again in heaven.</t>
        </r>
      </text>
    </comment>
    <comment ref="W60" authorId="0" shapeId="0" xr:uid="{00000000-0006-0000-0200-00003E010000}">
      <text>
        <r>
          <rPr>
            <sz val="10"/>
            <color rgb="FF000000"/>
            <rFont val="Arial"/>
          </rPr>
          <t>Some will be ready for the wedding banquet, and some will not.</t>
        </r>
      </text>
    </comment>
    <comment ref="O62" authorId="0" shapeId="0" xr:uid="{00000000-0006-0000-0200-00003F010000}">
      <text>
        <r>
          <rPr>
            <sz val="10"/>
            <color rgb="FF000000"/>
            <rFont val="Arial"/>
          </rPr>
          <t>Thanksgiving from a Thankful Heart
Thanksgiving is an attitude. It's an attitude that flows from a heart that is brimming over with gratitude for everything God has given us. We not only enjoy all kinds of material blessings in this great land, but more importantly we have been blessed with every good gift for our souls. We have the forgiveness of sins, and the promise of eternal celebration in heaven.
Like nine of the ten lepers we might easily forget to give thanks to Jesus for all his blessings. Certainly all were happy for their healing, but only one expressed his thanks and praise to God.
May we never take God's blessings for granted but thank and praise him for them!</t>
        </r>
      </text>
    </comment>
    <comment ref="P62" authorId="0" shapeId="0" xr:uid="{00000000-0006-0000-0200-000040010000}">
      <text>
        <r>
          <rPr>
            <sz val="10"/>
            <color rgb="FF000000"/>
            <rFont val="Arial"/>
          </rPr>
          <t>Almighty God our Father, you generous goodness comes to us new every day. By the work of your Spirit lead us to acknowledge your goodness, give thanks for your benefits, and serve you in willing obedience; through your Son, Jesus Christ our Lord.</t>
        </r>
      </text>
    </comment>
    <comment ref="Q62" authorId="0" shapeId="0" xr:uid="{00000000-0006-0000-0200-000041010000}">
      <text>
        <r>
          <rPr>
            <sz val="10"/>
            <color rgb="FF000000"/>
            <rFont val="Arial"/>
          </rPr>
          <t>Alleluia! Give thanks to the Lord, for he is good. His love endures forever. Alleluia!</t>
        </r>
      </text>
    </comment>
    <comment ref="U62" authorId="0" shapeId="0" xr:uid="{00000000-0006-0000-0200-000042010000}">
      <text>
        <r>
          <rPr>
            <sz val="10"/>
            <color rgb="FF000000"/>
            <rFont val="Arial"/>
          </rPr>
          <t>We might mistakenly believe we have ourselves to thank for the blessings we enjoy, but everything we have and all we are is a gift from the Lord.</t>
        </r>
      </text>
    </comment>
    <comment ref="V62" authorId="0" shapeId="0" xr:uid="{00000000-0006-0000-0200-000043010000}">
      <text>
        <r>
          <rPr>
            <sz val="10"/>
            <color rgb="FF000000"/>
            <rFont val="Arial"/>
          </rPr>
          <t>The Lord provides all of the abundance we enjoy, both for our bodies and our souls. Even the ability to give thanks and worship the Lord with our offerings is a gift from him.</t>
        </r>
      </text>
    </comment>
    <comment ref="W62" authorId="0" shapeId="0" xr:uid="{00000000-0006-0000-0200-000044010000}">
      <text>
        <r>
          <rPr>
            <sz val="10"/>
            <color rgb="FF000000"/>
            <rFont val="Arial"/>
          </rPr>
          <t>The grateful leper who had been cleansed was bound by gratitude to return to Jesus and give thanks.</t>
        </r>
      </text>
    </comment>
    <comment ref="O63" authorId="0" shapeId="0" xr:uid="{00000000-0006-0000-0200-000045010000}">
      <text>
        <r>
          <rPr>
            <sz val="10"/>
            <color rgb="FF000000"/>
            <rFont val="Arial"/>
          </rPr>
          <t>Thanksgiving from a Thankful Heart
Thanksgiving is an attitude. It's an attitude that flows from a heart that is brimming over with gratitude for everything God has given us. We not only enjoy all kinds of material blessings in this great land, but more importantly we have been blessed with every good gift for our souls. We have the forgiveness of sins, and the promise of eternal celebration in heaven.
Like nine of the ten lepers we might easily forget to give thanks to Jesus for all his blessings. Certainly all were happy for their healing, but only one expressed his thanks and praise to God.
May we never take God's blessings for granted but thank and praise him for them!</t>
        </r>
      </text>
    </comment>
    <comment ref="Q63" authorId="0" shapeId="0" xr:uid="{00000000-0006-0000-0200-000046010000}">
      <text>
        <r>
          <rPr>
            <sz val="10"/>
            <color rgb="FF000000"/>
            <rFont val="Arial"/>
          </rPr>
          <t>Alleluia! Give thanks to the Lord, for he is good. His love endures forever. Alleluia!</t>
        </r>
      </text>
    </comment>
    <comment ref="U63" authorId="0" shapeId="0" xr:uid="{00000000-0006-0000-0200-000047010000}">
      <text>
        <r>
          <rPr>
            <sz val="10"/>
            <color rgb="FF000000"/>
            <rFont val="Arial"/>
          </rPr>
          <t>We might mistakenly believe we have ourselves to thank for the blessings we enjoy, but everything we have and all we are is a gift from the Lord.</t>
        </r>
      </text>
    </comment>
    <comment ref="V63" authorId="0" shapeId="0" xr:uid="{00000000-0006-0000-0200-000048010000}">
      <text>
        <r>
          <rPr>
            <sz val="10"/>
            <color rgb="FF000000"/>
            <rFont val="Arial"/>
          </rPr>
          <t>The Lord provides all of the abundance we enjoy, both for our bodies and our souls. Even the ability to give thanks and worship the Lord with our offerings is a gift from him.</t>
        </r>
      </text>
    </comment>
    <comment ref="W63" authorId="0" shapeId="0" xr:uid="{00000000-0006-0000-0200-000049010000}">
      <text>
        <r>
          <rPr>
            <sz val="10"/>
            <color rgb="FF000000"/>
            <rFont val="Arial"/>
          </rPr>
          <t>The grateful leper who had been cleansed was bound by gratitude to return to Jesus and give thanks.</t>
        </r>
      </text>
    </comment>
    <comment ref="O64" authorId="0" shapeId="0" xr:uid="{00000000-0006-0000-0200-00004A010000}">
      <text>
        <r>
          <rPr>
            <sz val="10"/>
            <color rgb="FF000000"/>
            <rFont val="Arial"/>
          </rPr>
          <t>Behold your King!
At Calvary the soldiers mocked and reviled Jesus. The notice above his head said, "Jesus of Nazareth, King of the Jews." His head was crowned with thorns, and a cruel cross enthroned him between heaven and earth. Jesus humbled himself for our salvation.
But Jesus is humiliated no longer. His victory on Easter destroyed death, and Jesus validated his power over all creation. He is the King of kings and the Lord of lords. When he returns to judge the living and the dead, every knee will bow before him, and every tongue will confess that Jesus Christ is Lord and King.
(Sidebar note: Look, he is coming with the clouds, and every eye will see him, even those who pierced him; and all the peoples of the earth will mourn because of him. So shall it be! Amen. --Revelation 1:7)</t>
        </r>
      </text>
    </comment>
    <comment ref="P64" authorId="0" shapeId="0" xr:uid="{00000000-0006-0000-0200-00004B010000}">
      <text>
        <r>
          <rPr>
            <sz val="10"/>
            <color rgb="FF000000"/>
            <rFont val="Arial"/>
          </rPr>
          <t>Lord Jesus Christ, by your victory you have broken the power of the evil one. Fill our hearts with joy and peace as we look with hope to that day when every creature in heaven and earth will acclaim you King of kings and Lord of lords to your unending praise and glory; for you live and reign with the Father and the Holy Spirit, one God, now and forever.</t>
        </r>
      </text>
    </comment>
    <comment ref="Q64" authorId="0" shapeId="0" xr:uid="{00000000-0006-0000-0200-00004C010000}">
      <text>
        <r>
          <rPr>
            <sz val="10"/>
            <color rgb="FF000000"/>
            <rFont val="Arial"/>
          </rPr>
          <t>Alleluia. I am the Alpha and Omega, the First and the Last, the Beginning and the End. Alleluia.</t>
        </r>
      </text>
    </comment>
    <comment ref="U64" authorId="0" shapeId="0" xr:uid="{00000000-0006-0000-0200-00004D010000}">
      <text>
        <r>
          <rPr>
            <sz val="10"/>
            <color rgb="FF000000"/>
            <rFont val="Arial"/>
          </rPr>
          <t>The Lord himself will shepherd his flock through the King he has chosen.</t>
        </r>
      </text>
    </comment>
    <comment ref="V64" authorId="0" shapeId="0" xr:uid="{00000000-0006-0000-0200-00004E010000}">
      <text>
        <r>
          <rPr>
            <sz val="10"/>
            <color rgb="FF000000"/>
            <rFont val="Arial"/>
          </rPr>
          <t>All authority, power and dominion are given to Christ Jesus, the resurrected King.</t>
        </r>
      </text>
    </comment>
    <comment ref="W64" authorId="0" shapeId="0" xr:uid="{00000000-0006-0000-0200-00004F010000}">
      <text>
        <r>
          <rPr>
            <sz val="10"/>
            <color rgb="FF000000"/>
            <rFont val="Arial"/>
          </rPr>
          <t>The head that once was crowned with thorns now wears a crown of victory. Every eye shall see him, even those who pierced him.</t>
        </r>
      </text>
    </comment>
    <comment ref="O65" authorId="0" shapeId="0" xr:uid="{00000000-0006-0000-0200-000050010000}">
      <text>
        <r>
          <rPr>
            <sz val="10"/>
            <color rgb="FF000000"/>
            <rFont val="Arial"/>
          </rPr>
          <t>He comes to put an end to wickedness
God is patient with human beings. He doesn't want anyone to perish eternally. He wants everyone to repent and come to a knowledge of the truth that forgiveness and salvation are found in his Son, Jesus Christ.
But God is not mocked. When Jesus returns as judge he will bring punishment upon the wicked. The same judgment that punishes God's enemies will bring relief to God's people, because we will be set free from the wickedness that is all around us in the world.
Lord Jesus, come quickly to bring an end to wickedness and take your people home!</t>
        </r>
      </text>
    </comment>
    <comment ref="P65" authorId="0" shapeId="0" xr:uid="{00000000-0006-0000-0200-000051010000}">
      <text>
        <r>
          <rPr>
            <sz val="10"/>
            <color rgb="FF000000"/>
            <rFont val="Arial"/>
          </rPr>
          <t>Stir up your power, O Lord, and come. Protect us by your strength and save us from the threatening dangers of our sins; for you live and reign with the Father and the Holy Spirit, one God, now and forever.</t>
        </r>
      </text>
    </comment>
    <comment ref="Q65" authorId="0" shapeId="0" xr:uid="{00000000-0006-0000-0200-000052010000}">
      <text>
        <r>
          <rPr>
            <sz val="10"/>
            <color rgb="FF000000"/>
            <rFont val="Arial"/>
          </rPr>
          <t>Alleluia! He who testifies to these things says, "Yes, I am coming soon." Amen. Come, Lord Jesus. Alleluia!</t>
        </r>
      </text>
    </comment>
    <comment ref="U65" authorId="0" shapeId="0" xr:uid="{00000000-0006-0000-0200-000053010000}">
      <text>
        <r>
          <rPr>
            <sz val="10"/>
            <color rgb="FF000000"/>
            <rFont val="Arial"/>
          </rPr>
          <t>The flood brought cleansing to the earth. The same waters that destroyed the wicked buoyed up and saved the righteous.</t>
        </r>
      </text>
    </comment>
    <comment ref="V65" authorId="0" shapeId="0" xr:uid="{00000000-0006-0000-0200-000054010000}">
      <text>
        <r>
          <rPr>
            <sz val="10"/>
            <color rgb="FF000000"/>
            <rFont val="Arial"/>
          </rPr>
          <t>God will preserve his people pure and blameless as we wait for his coming.</t>
        </r>
      </text>
    </comment>
    <comment ref="W65" authorId="0" shapeId="0" xr:uid="{00000000-0006-0000-0200-000055010000}">
      <text>
        <r>
          <rPr>
            <sz val="10"/>
            <color rgb="FF000000"/>
            <rFont val="Arial"/>
          </rPr>
          <t>No one knows the day or the hour; therefore, keep watch!</t>
        </r>
      </text>
    </comment>
    <comment ref="O66" authorId="0" shapeId="0" xr:uid="{00000000-0006-0000-0200-000056010000}">
      <text>
        <r>
          <rPr>
            <sz val="10"/>
            <color rgb="FF000000"/>
            <rFont val="Arial"/>
          </rPr>
          <t>Tidings of Comfort and Joy: The Song of Zechariah
Sometimes you just have to sing!
Preparation for the birth of our Savior just wouldn't be the same without the songs we sing at this time of the year. On the radio and in the shopping malls we hear songs that put us in the mood for Christmas--and we even hear songs that celebrate the birth of Jesus'
As the news was revealed that God was about to send his Son, God's people sang with joy. Zechariah, the father of John the Baptist, praised God that the forerunner of the Messiah had been born. After many years people yearning, of hope and expectation, God was coming to redeem his people!</t>
        </r>
      </text>
    </comment>
    <comment ref="P66" authorId="0" shapeId="0" xr:uid="{00000000-0006-0000-0200-000057010000}">
      <text>
        <r>
          <rPr>
            <sz val="10"/>
            <color rgb="FF000000"/>
            <rFont val="Arial"/>
          </rPr>
          <t>Stir up our hearts, O Lord, to prepare the way for your only Son. By his coming give us strength in our conflicts, and shed light on our path through the darkness of this world; through your Son, Jesus Christ our Lord, who lives and reigns with you and the Holy Spirit, one God, now and forever.</t>
        </r>
      </text>
    </comment>
    <comment ref="U66" authorId="0" shapeId="0" xr:uid="{00000000-0006-0000-0200-000058010000}">
      <text>
        <r>
          <rPr>
            <sz val="10"/>
            <color rgb="FF000000"/>
            <rFont val="Arial"/>
          </rPr>
          <t>Through his prophet, the Lord promised a forerunner, who would prepare the way for the Messiah.</t>
        </r>
      </text>
    </comment>
    <comment ref="V66" authorId="0" shapeId="0" xr:uid="{00000000-0006-0000-0200-000059010000}">
      <text>
        <r>
          <rPr>
            <sz val="10"/>
            <color rgb="FF000000"/>
            <rFont val="Arial"/>
          </rPr>
          <t>Christians walk in the way of faith and obedience, anticipating the wonderful Sabbath-rest prepared for the people of God.</t>
        </r>
      </text>
    </comment>
    <comment ref="W66" authorId="0" shapeId="0" xr:uid="{00000000-0006-0000-0200-00005A010000}">
      <text>
        <r>
          <rPr>
            <sz val="10"/>
            <color rgb="FF000000"/>
            <rFont val="Arial"/>
          </rPr>
          <t>Zechariah received the news that his son, John the Baptist, would be born and would prepare the way for the Savior.</t>
        </r>
      </text>
    </comment>
    <comment ref="O67" authorId="0" shapeId="0" xr:uid="{00000000-0006-0000-0200-00005B010000}">
      <text>
        <r>
          <rPr>
            <sz val="10"/>
            <color rgb="FF000000"/>
            <rFont val="Arial"/>
          </rPr>
          <t>He comes when the time is right 
God is patient with human beings. He doesn't want anyone to perish eternally. He wants everyone to repent and come to a knowledge of the truth that forgiveness and salvation are found in his Son, Jesus Christ.
The Christian Church has waited for Jesus' coming for nearly 2,000 years. We are living in the days when people scoff at the idea of Jesus returning as Judge. "Where is this coming he spoke of?"
But what might seem slow to us is not slow to God; he is not slow in keeping his promise. He will come at just the right time, and when he comes he will take with him all who trust in him and are waiting for him.</t>
        </r>
      </text>
    </comment>
    <comment ref="P67" authorId="0" shapeId="0" xr:uid="{00000000-0006-0000-0200-00005C010000}">
      <text>
        <r>
          <rPr>
            <sz val="10"/>
            <color rgb="FF000000"/>
            <rFont val="Arial"/>
          </rPr>
          <t>Stir up our hearts, O Lord, to prepare the way for your only Son. By his coming give us strength in our conflicts and shed light on our path through the darkness of this world; through your Son, Jesus Christ our Lord, who lives and reigns with you and the Holy Spirit, one God, now and forever.</t>
        </r>
      </text>
    </comment>
    <comment ref="Q67" authorId="0" shapeId="0" xr:uid="{00000000-0006-0000-0200-00005D010000}">
      <text>
        <r>
          <rPr>
            <sz val="10"/>
            <color rgb="FF000000"/>
            <rFont val="Arial"/>
          </rPr>
          <t>Alleluia! Prepare the way for the Lord, make straight paths for him. All mankind will see God's salvation. Alleluia!</t>
        </r>
      </text>
    </comment>
    <comment ref="U67" authorId="0" shapeId="0" xr:uid="{00000000-0006-0000-0200-00005E010000}">
      <text>
        <r>
          <rPr>
            <sz val="10"/>
            <color rgb="FF000000"/>
            <rFont val="Arial"/>
          </rPr>
          <t>Prepare the way for the Lord, for he comes in power.</t>
        </r>
      </text>
    </comment>
    <comment ref="V67" authorId="0" shapeId="0" xr:uid="{00000000-0006-0000-0200-00005F010000}">
      <text>
        <r>
          <rPr>
            <sz val="10"/>
            <color rgb="FF000000"/>
            <rFont val="Arial"/>
          </rPr>
          <t>His delay is not weakness but patience. Prepare for his powerful coming!</t>
        </r>
      </text>
    </comment>
    <comment ref="W67" authorId="0" shapeId="0" xr:uid="{00000000-0006-0000-0200-000060010000}">
      <text>
        <r>
          <rPr>
            <sz val="10"/>
            <color rgb="FF000000"/>
            <rFont val="Arial"/>
          </rPr>
          <t>John baptizes in preparation for one more powerful than he.</t>
        </r>
      </text>
    </comment>
    <comment ref="O68" authorId="0" shapeId="0" xr:uid="{00000000-0006-0000-0200-000061010000}">
      <text>
        <r>
          <rPr>
            <sz val="10"/>
            <color rgb="FF000000"/>
            <rFont val="Arial"/>
          </rPr>
          <t>Tidings of Comfort and Joy: The Song of Mary
Sometimes you just have to sing!
The angel Gabriel appeared to the Virgin Mary and told her that she would miraculously conceive and give birth to a son. The child in her womb was conceived by the Holy Spirit, and the baby would be called the Son of the Most High.
Mary sang for joy, not only because God was delivering on his promise of a Savior, but because the Savior she would bear was also her Savior. The young maiden from Nazareth in Galilee would bear the Savior of the world!</t>
        </r>
      </text>
    </comment>
    <comment ref="P68" authorId="0" shapeId="0" xr:uid="{00000000-0006-0000-0200-000062010000}">
      <text>
        <r>
          <rPr>
            <sz val="10"/>
            <color rgb="FF000000"/>
            <rFont val="Arial"/>
          </rPr>
          <t>Stir up your power, O Lord, and come. Protect us by your strength and save us from the threatening dangers of our sins; for you live and reign with the Father and the Holy Spirit, one God, now and forever.</t>
        </r>
      </text>
    </comment>
    <comment ref="U68" authorId="0" shapeId="0" xr:uid="{00000000-0006-0000-0200-000063010000}">
      <text>
        <r>
          <rPr>
            <sz val="10"/>
            <color rgb="FF000000"/>
            <rFont val="Arial"/>
          </rPr>
          <t>Scripture instructs us to trust in the Lord and not rely on our own logic, reason, or understanding.</t>
        </r>
      </text>
    </comment>
    <comment ref="W68" authorId="0" shapeId="0" xr:uid="{00000000-0006-0000-0200-000064010000}">
      <text>
        <r>
          <rPr>
            <sz val="10"/>
            <color rgb="FF000000"/>
            <rFont val="Arial"/>
          </rPr>
          <t>Mary heard the message of the Angel Gabriel and trusted that the Word of the Lord would come true.</t>
        </r>
      </text>
    </comment>
    <comment ref="O69" authorId="0" shapeId="0" xr:uid="{00000000-0006-0000-0200-000065010000}">
      <text>
        <r>
          <rPr>
            <sz val="10"/>
            <color rgb="FF000000"/>
            <rFont val="Arial"/>
          </rPr>
          <t>His coming is announced by John the Baptist
John the Baptist was the last prophet of the Old Testament. His calling was to prepare the way for the arrival of the Son of God, the Messiah. He warned people to repent of their sins, and he instructed them to look to Jesus for forgiveness: "Look, the Lamb of God who takes away the sin of the world."
Today God calls us to examine our hearts and scrutinize our lives. Through his Word he exposes our sins, convicts us of our guilt, and shows us how much we need a Savior. Through his promise of grace and truth he points us to the Lamb--Jesus Christ--and teaches us to trust in him for forgiveness, life, and salvation.</t>
        </r>
      </text>
    </comment>
    <comment ref="P69" authorId="0" shapeId="0" xr:uid="{00000000-0006-0000-0200-000066010000}">
      <text>
        <r>
          <rPr>
            <sz val="10"/>
            <color rgb="FF000000"/>
            <rFont val="Arial"/>
          </rPr>
          <t>Hear our prayers, Lord Jesus Christ, and come with the good news of your mighty deliverance. Drive the darkness from our hearts, and fill us with your light; for you live and reign with the Father and the Holy Spirit, one God, now and forever.</t>
        </r>
      </text>
    </comment>
    <comment ref="Q69" authorId="0" shapeId="0" xr:uid="{00000000-0006-0000-0200-000067010000}">
      <text>
        <r>
          <rPr>
            <sz val="10"/>
            <color rgb="FF000000"/>
            <rFont val="Arial"/>
          </rPr>
          <t>Alleluia! I will send my messenger ahead of you, who will prepare your way before you. Alleluia!</t>
        </r>
      </text>
    </comment>
    <comment ref="U69" authorId="0" shapeId="0" xr:uid="{00000000-0006-0000-0200-000068010000}">
      <text>
        <r>
          <rPr>
            <sz val="10"/>
            <color rgb="FF000000"/>
            <rFont val="Arial"/>
          </rPr>
          <t>The Lord brings joy and gladness as he clothes his people in garments of righteousness.</t>
        </r>
      </text>
    </comment>
    <comment ref="V69" authorId="0" shapeId="0" xr:uid="{00000000-0006-0000-0200-000069010000}">
      <text>
        <r>
          <rPr>
            <sz val="10"/>
            <color rgb="FF000000"/>
            <rFont val="Arial"/>
          </rPr>
          <t>Listen to prophecy; don't put out the Spirit's fire.</t>
        </r>
      </text>
    </comment>
    <comment ref="W69" authorId="0" shapeId="0" xr:uid="{00000000-0006-0000-0200-00006A010000}">
      <text>
        <r>
          <rPr>
            <sz val="10"/>
            <color rgb="FF000000"/>
            <rFont val="Arial"/>
          </rPr>
          <t>John points to the light, but people refuse to see and believe.</t>
        </r>
      </text>
    </comment>
    <comment ref="O70" authorId="0" shapeId="0" xr:uid="{00000000-0006-0000-0200-00006B010000}">
      <text>
        <r>
          <rPr>
            <sz val="10"/>
            <color rgb="FF000000"/>
            <rFont val="Arial"/>
          </rPr>
          <t>Tidings of Comfort and Joy: The Song of Simeon
Sometimes you just have to sing!
The Lord had told aged Simeon that he would not die before he had seen the Lord's Christ. As Jesus' parents came into the temple to fulfill the law, Simeon was there to greet them. What joy and comfort filled his heart as he held in his arms the tiny baby who came to bear his sin and to be his righteousness! Having gazed into the face of God and having held the Messiah in his arms, he was able to depart in peace, for he had seen the Lord's salvation.</t>
        </r>
      </text>
    </comment>
    <comment ref="P70" authorId="0" shapeId="0" xr:uid="{00000000-0006-0000-0200-00006C010000}">
      <text>
        <r>
          <rPr>
            <sz val="10"/>
            <color rgb="FF000000"/>
            <rFont val="Arial"/>
          </rPr>
          <t>Hear our prayers, Lord Jesus Christ, and come with the good news of your mighty deliverance. Drive the darkness from our hearts, and fill us with your light; for you live and reign with the Father and the Holy Spirit, one God, now and forever.</t>
        </r>
      </text>
    </comment>
    <comment ref="U70" authorId="0" shapeId="0" xr:uid="{00000000-0006-0000-0200-00006D010000}">
      <text>
        <r>
          <rPr>
            <sz val="10"/>
            <color rgb="FF000000"/>
            <rFont val="Arial"/>
          </rPr>
          <t>The Lord instructs us to trust in him, not in our wealth or riches.</t>
        </r>
      </text>
    </comment>
    <comment ref="W70" authorId="0" shapeId="0" xr:uid="{00000000-0006-0000-0200-00006E010000}">
      <text>
        <r>
          <rPr>
            <sz val="10"/>
            <color rgb="FF000000"/>
            <rFont val="Arial"/>
          </rPr>
          <t>John the Baptist's father Zechariah found perfect contentment in the Lord's promises of salvation, forgiveness and peace.</t>
        </r>
      </text>
    </comment>
    <comment ref="O71" authorId="0" shapeId="0" xr:uid="{00000000-0006-0000-0200-00006F010000}">
      <text>
        <r>
          <rPr>
            <sz val="10"/>
            <color rgb="FF000000"/>
            <rFont val="Arial"/>
          </rPr>
          <t>He comes to rule his people
In the Old Testament King David ruled God's people Israel as a shepherd cares for the flock. David was a man after the Lord's own heart, and God promised to establish his throne forever.
That prophecy was fulfilled in the coming of Jesus Christ. Jesus was descended from David's line. He didn't establish an earthly kingdom to last forever but he established his church, the Lord's own flock, and his kingdom will endure in heaven forever. At Christmas we welcome the arrival of Christ, our newborn King!</t>
        </r>
      </text>
    </comment>
    <comment ref="P71" authorId="0" shapeId="0" xr:uid="{00000000-0006-0000-0200-000070010000}">
      <text>
        <r>
          <rPr>
            <sz val="10"/>
            <color rgb="FF000000"/>
            <rFont val="Arial"/>
          </rPr>
          <t>Stir up your power, O Lord, and come. Take away the burden of our sins, and make us ready for the celebration of your birth, that we may receive you in joy and serve you always; for you live and reign with the Father and the Holy Spirit, one God, now and forever.</t>
        </r>
      </text>
    </comment>
    <comment ref="U71" authorId="0" shapeId="0" xr:uid="{00000000-0006-0000-0200-000071010000}">
      <text>
        <r>
          <rPr>
            <sz val="10"/>
            <color rgb="FF000000"/>
            <rFont val="Arial"/>
          </rPr>
          <t>When the Messiah comes, God will establish him as King, and he will rule over God's people forever.</t>
        </r>
      </text>
    </comment>
    <comment ref="V71" authorId="0" shapeId="0" xr:uid="{00000000-0006-0000-0200-000072010000}">
      <text>
        <r>
          <rPr>
            <sz val="10"/>
            <color rgb="FF000000"/>
            <rFont val="Arial"/>
          </rPr>
          <t>God's glory will be magnified in the eternal rule of the coming Messiah.</t>
        </r>
      </text>
    </comment>
    <comment ref="W71" authorId="0" shapeId="0" xr:uid="{00000000-0006-0000-0200-000073010000}">
      <text>
        <r>
          <rPr>
            <sz val="10"/>
            <color rgb="FF000000"/>
            <rFont val="Arial"/>
          </rPr>
          <t>Jesus will sit on the throne of David and rule over God's people forever.</t>
        </r>
      </text>
    </comment>
    <comment ref="P72" authorId="0" shapeId="0" xr:uid="{00000000-0006-0000-0200-000074010000}">
      <text>
        <r>
          <rPr>
            <sz val="10"/>
            <color rgb="FF000000"/>
            <rFont val="Arial"/>
          </rPr>
          <t>Stir up your power, O Lord, and come. Take away the burden of our sins, and make us ready for the celebration of your birth, that we may receive you in joy and serve you always; for you live and reign with the Father and the Holy Spirit, one God, now and forever.</t>
        </r>
      </text>
    </comment>
    <comment ref="Q72" authorId="0" shapeId="0" xr:uid="{00000000-0006-0000-0200-000075010000}">
      <text>
        <r>
          <rPr>
            <sz val="10"/>
            <color rgb="FF000000"/>
            <rFont val="Arial"/>
          </rPr>
          <t>Alleluia! The virgin will be with child and will give birth to a son, and they will call him Emmanuel. Alleluia!</t>
        </r>
      </text>
    </comment>
    <comment ref="O73" authorId="0" shapeId="0" xr:uid="{00000000-0006-0000-0200-000076010000}">
      <text>
        <r>
          <rPr>
            <sz val="10"/>
            <color rgb="FF000000"/>
            <rFont val="Arial"/>
          </rPr>
          <t>He comes to bring peace
Peace in this world is an elusive commodity. The headlines are full of hostilities and conflicts around the world. Even Jesus said that wars and conflicts would continue and even intensify until the end of time.
Into a broken world of conflict caused by human sin, Jesus comes to bring peace. He doesn't offer earthly peace between neighbors or nations. Instead he brings peace with God, peace in our hearts, a cessation of hostilities between God and the human race, and the quiet peace of sins forgiven reflected in Christian love.
"Glory to God in the highest, and on earth peace to men on whom his favor rests" (Luke 2:14).</t>
        </r>
      </text>
    </comment>
    <comment ref="P73" authorId="0" shapeId="0" xr:uid="{00000000-0006-0000-0200-000077010000}">
      <text>
        <r>
          <rPr>
            <sz val="10"/>
            <color rgb="FF000000"/>
            <rFont val="Arial"/>
          </rPr>
          <t>Almighty God, you made this holy night shine with the brightness of the true light. Grant that as we have known on earth the wonder of that light, we may also behold him in all his glory in the life to come; through your only Son, Jesus Christ our Lord, who lives and reigns with you and the Holy Spirit, one God, now and forever.</t>
        </r>
      </text>
    </comment>
    <comment ref="Q73" authorId="0" shapeId="0" xr:uid="{00000000-0006-0000-0200-000078010000}">
      <text>
        <r>
          <rPr>
            <sz val="10"/>
            <color rgb="FF000000"/>
            <rFont val="Arial"/>
          </rPr>
          <t>Alleluia! Today in the town of David a Savior has been born to you; he is Christ the Lord. Alleluia!</t>
        </r>
      </text>
    </comment>
    <comment ref="U73" authorId="0" shapeId="0" xr:uid="{00000000-0006-0000-0200-000079010000}">
      <text>
        <r>
          <rPr>
            <sz val="10"/>
            <color rgb="FF000000"/>
            <rFont val="Arial"/>
          </rPr>
          <t>To us a child is born.</t>
        </r>
      </text>
    </comment>
    <comment ref="V73" authorId="0" shapeId="0" xr:uid="{00000000-0006-0000-0200-00007A010000}">
      <text>
        <r>
          <rPr>
            <sz val="10"/>
            <color rgb="FF000000"/>
            <rFont val="Arial"/>
          </rPr>
          <t>Salvation has appeared to all people.</t>
        </r>
      </text>
    </comment>
    <comment ref="W73" authorId="0" shapeId="0" xr:uid="{00000000-0006-0000-0200-00007B010000}">
      <text>
        <r>
          <rPr>
            <sz val="10"/>
            <color rgb="FF000000"/>
            <rFont val="Arial"/>
          </rPr>
          <t>To you this day a Savior has been born. He is Christ the Lord.</t>
        </r>
      </text>
    </comment>
    <comment ref="O74" authorId="0" shapeId="0" xr:uid="{00000000-0006-0000-0200-00007C010000}">
      <text>
        <r>
          <rPr>
            <sz val="10"/>
            <color rgb="FF000000"/>
            <rFont val="Arial"/>
          </rPr>
          <t>He comes with the good news of salvation
God has come to rescue his people! He rescues us from our darkness, from our blindness, from slavery to death, from our fears, from our sins. God did what was inconceivable: He humbled himself to be conceived and born in poverty, entered our broken, violent, and corrupt world, and became our brother. Salvation was accomplished by the mighty hand of God!
In the sight of all people God has bared  his holy arm, flexed his muscles, and exercised his power--all to defeat and destroy our eternal enemies. The good news of his victory, accomplished through Jesus the son of Mary, goes out into all the world. How beautiful are the feet of those who proclaim good news!</t>
        </r>
      </text>
    </comment>
    <comment ref="P74" authorId="0" shapeId="0" xr:uid="{00000000-0006-0000-0200-00007D010000}">
      <text>
        <r>
          <rPr>
            <sz val="10"/>
            <color rgb="FF000000"/>
            <rFont val="Arial"/>
          </rPr>
          <t>Almighty God, grant that the birth of your only Son in the flesh may set us free from our old bondage under the yoke of sin; through Jesus Christ our Lord, who lives and reigns with you and the Holy Spirit, one God, now and forever.</t>
        </r>
      </text>
    </comment>
    <comment ref="Q74" authorId="0" shapeId="0" xr:uid="{00000000-0006-0000-0200-00007E010000}">
      <text>
        <r>
          <rPr>
            <sz val="10"/>
            <color rgb="FF000000"/>
            <rFont val="Arial"/>
          </rPr>
          <t>Alleluia! When the time had fully come, God sent his Son, born of a woman, born under law, to redeem those under law. Alleluia!</t>
        </r>
      </text>
    </comment>
    <comment ref="U74" authorId="0" shapeId="0" xr:uid="{00000000-0006-0000-0200-00007F010000}">
      <text>
        <r>
          <rPr>
            <sz val="10"/>
            <color rgb="FF000000"/>
            <rFont val="Arial"/>
          </rPr>
          <t>The incarnate Son has worked salvation for God.</t>
        </r>
      </text>
    </comment>
    <comment ref="V74" authorId="0" shapeId="0" xr:uid="{00000000-0006-0000-0200-000080010000}">
      <text>
        <r>
          <rPr>
            <sz val="10"/>
            <color rgb="FF000000"/>
            <rFont val="Arial"/>
          </rPr>
          <t>The incarnate Son now sits in glory</t>
        </r>
      </text>
    </comment>
    <comment ref="W74" authorId="0" shapeId="0" xr:uid="{00000000-0006-0000-0200-000081010000}">
      <text>
        <r>
          <rPr>
            <sz val="10"/>
            <color rgb="FF000000"/>
            <rFont val="Arial"/>
          </rPr>
          <t>The mystery of the incarnation transcends human understanding, yet it fills us with awe and peace.</t>
        </r>
      </text>
    </comment>
    <comment ref="O75" authorId="0" shapeId="0" xr:uid="{00000000-0006-0000-0200-000082010000}">
      <text>
        <r>
          <rPr>
            <sz val="10"/>
            <color rgb="FF000000"/>
            <rFont val="Arial"/>
          </rPr>
          <t>Christmas peace and joy
Christmas is a time for celebration with family and friends, but it is so much more. It's not just a special holiday that brings time off of work, presents under the tree, and holiday cheer. At Christmas we celebrate the birth of God on earth, and our celebrations on earth are but a dim reflection of all the heavenly rejoicing that accompanied Jesus' entrance into our world.
In Jesus, God brings peace to our hearts. We are certain of God's love, and we're confident of his care and protection. Our sorrow-filled burdens are replaced by the light of joy in this life and the next. Jesus comes to live with us, to live in us, and finally to take us to live with him in peace and joy forever.</t>
        </r>
      </text>
    </comment>
    <comment ref="P75" authorId="0" shapeId="0" xr:uid="{00000000-0006-0000-0200-000083010000}">
      <text>
        <r>
          <rPr>
            <sz val="10"/>
            <color rgb="FF000000"/>
            <rFont val="Arial"/>
          </rPr>
          <t>Almighty God, in mercy you sent your one and only Son to take upon himself our human nature. By his gracious coming deliver us from the corruption of our sin, and transform us into the likeness of his glory; through Jesus Christ our Lord, who lives and reigns with you and the Holy Spirit, one God, now and forever.</t>
        </r>
      </text>
    </comment>
    <comment ref="Q75" authorId="0" shapeId="0" xr:uid="{00000000-0006-0000-0200-000084010000}">
      <text>
        <r>
          <rPr>
            <sz val="10"/>
            <color rgb="FF000000"/>
            <rFont val="Arial"/>
          </rPr>
          <t>Alleluia! Let the peace of Christ rule in your hearts. Alleluia!</t>
        </r>
      </text>
    </comment>
    <comment ref="U75" authorId="0" shapeId="0" xr:uid="{00000000-0006-0000-0200-000085010000}">
      <text>
        <r>
          <rPr>
            <sz val="10"/>
            <color rgb="FF000000"/>
            <rFont val="Arial"/>
          </rPr>
          <t>The Lord, the Savior God, brings joy and peace, while others follow gods of stone that deliver neither.</t>
        </r>
      </text>
    </comment>
    <comment ref="V75" authorId="0" shapeId="0" xr:uid="{00000000-0006-0000-0200-000086010000}">
      <text>
        <r>
          <rPr>
            <sz val="10"/>
            <color rgb="FF000000"/>
            <rFont val="Arial"/>
          </rPr>
          <t>Let the peace of Christ rule in your hearts.</t>
        </r>
      </text>
    </comment>
    <comment ref="W75" authorId="0" shapeId="0" xr:uid="{00000000-0006-0000-0200-000087010000}">
      <text>
        <r>
          <rPr>
            <sz val="10"/>
            <color rgb="FF000000"/>
            <rFont val="Arial"/>
          </rPr>
          <t>Simeon and Anna see the Lord's salvation and are ready to depart in peace.</t>
        </r>
      </text>
    </comment>
    <comment ref="O76" authorId="0" shapeId="0" xr:uid="{00000000-0006-0000-0200-000088010000}">
      <text>
        <r>
          <rPr>
            <sz val="10"/>
            <color rgb="FF000000"/>
            <rFont val="Arial"/>
          </rPr>
          <t>Tonight, at the close of the calendar year we consider again the passage of time.
Time flows in only one direction. Time that is lost can never be regained. The past cannot be revisited. There is only the present--to live to God's glory--and the future, to be played out as God determines.
The close of 2017 brings us one year closer to the end of time. For Christians, this is a reason to celebrate. The end of time for the world means the beginning of eternity with God for Christians. The end of our lives means the beginning of eternal life.
Meanwhile, time keeps on ticking . . .</t>
        </r>
      </text>
    </comment>
    <comment ref="P76" authorId="0" shapeId="0" xr:uid="{00000000-0006-0000-0200-000089010000}">
      <text>
        <r>
          <rPr>
            <sz val="10"/>
            <color rgb="FF000000"/>
            <rFont val="Arial"/>
          </rPr>
          <t>Eternal Father, before whom all generations rise and fall, teach us to think earnestly on the brevity of our lives and on the immensity of your goodness. Help us to enter the new year trusting in the name of your Son and walking in the way of his peace; through Jesus Christ our Lord, who lives and reigns with you and the Holy Spirit, one God, now and forever.</t>
        </r>
      </text>
    </comment>
    <comment ref="Q76" authorId="0" shapeId="0" xr:uid="{00000000-0006-0000-0200-00008A010000}">
      <text>
        <r>
          <rPr>
            <sz val="10"/>
            <color rgb="FF000000"/>
            <rFont val="Arial"/>
          </rPr>
          <t>Alleluia! Your word is a lamp to my feet and a light for my path. Alleluia!</t>
        </r>
      </text>
    </comment>
    <comment ref="T76" authorId="0" shapeId="0" xr:uid="{00000000-0006-0000-0200-00008B010000}">
      <text>
        <r>
          <rPr>
            <sz val="10"/>
            <color rgb="FF000000"/>
            <rFont val="Arial"/>
          </rPr>
          <t>(Juan's notes:) 
Open with 30 seconds of silence.
Popular songs about time: Time Keeps on Ticking into the Future. Pink Floyd: Time. Birds: There Is a Season. Dust in the Wind
At the end of this year many people are celebrating great economic gains. Many people feel better off this year than last. Some gained, some lost. But everyone is poorer in one respect: time.</t>
        </r>
      </text>
    </comment>
    <comment ref="U76" authorId="0" shapeId="0" xr:uid="{00000000-0006-0000-0200-00008C010000}">
      <text>
        <r>
          <rPr>
            <sz val="10"/>
            <color rgb="FF000000"/>
            <rFont val="Arial"/>
          </rPr>
          <t>There is a time for everything under the sun. Finding satisfaction as we serve the Lord is a gift from God.</t>
        </r>
      </text>
    </comment>
    <comment ref="V76" authorId="0" shapeId="0" xr:uid="{00000000-0006-0000-0200-00008D010000}">
      <text>
        <r>
          <rPr>
            <sz val="10"/>
            <color rgb="FF000000"/>
            <rFont val="Arial"/>
          </rPr>
          <t>Human beings make big plans, but the Lord holds the future. Find contentment in him.</t>
        </r>
      </text>
    </comment>
    <comment ref="W76" authorId="0" shapeId="0" xr:uid="{00000000-0006-0000-0200-00008E010000}">
      <text>
        <r>
          <rPr>
            <sz val="10"/>
            <color rgb="FF000000"/>
            <rFont val="Arial"/>
          </rPr>
          <t>Jesus teaches us to focus on the things that are important, not the things that are fleeting.</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K2" authorId="0" shapeId="0" xr:uid="{00000000-0006-0000-0300-000001000000}">
      <text>
        <r>
          <rPr>
            <sz val="10"/>
            <color rgb="FF000000"/>
            <rFont val="Arial"/>
          </rPr>
          <t>Hymn 34 (In Dulci Jubilo) should be up-tempo!</t>
        </r>
      </text>
    </comment>
    <comment ref="N2" authorId="0" shapeId="0" xr:uid="{00000000-0006-0000-0300-000002000000}">
      <text>
        <r>
          <rPr>
            <sz val="10"/>
            <color rgb="FF000000"/>
            <rFont val="Arial"/>
          </rPr>
          <t>A Light Shining in Darkness: The Redeemer of all mankind
Jesus was born to redeem us, that is, to buy us back. Once we were enslaved by sin and bound under a sentence of death. Jesus' blood was the price of our redemption, and Jesus' obedience is the payment for our sin. When the Light shines in our hearts, we join God's chosen and redeemed people as members of his family.</t>
        </r>
      </text>
    </comment>
    <comment ref="P2" authorId="0" shapeId="0" xr:uid="{00000000-0006-0000-0300-000003000000}">
      <text>
        <r>
          <rPr>
            <sz val="10"/>
            <color rgb="FF000000"/>
            <rFont val="Arial"/>
          </rPr>
          <t>Alleluia. We saw his star in the east and have come to worship him. Alleluia.</t>
        </r>
      </text>
    </comment>
    <comment ref="S2" authorId="0" shapeId="0" xr:uid="{00000000-0006-0000-0300-000004000000}">
      <text>
        <r>
          <rPr>
            <sz val="10"/>
            <color rgb="FF000000"/>
            <rFont val="Arial"/>
          </rPr>
          <t>The covenant of circumcision was a physical sign of God's redemption.</t>
        </r>
      </text>
    </comment>
    <comment ref="T2" authorId="0" shapeId="0" xr:uid="{00000000-0006-0000-0300-000005000000}">
      <text>
        <r>
          <rPr>
            <sz val="10"/>
            <color rgb="FF000000"/>
            <rFont val="Arial"/>
          </rPr>
          <t xml:space="preserve">When the time had fully come, God sent his Son to redeem us from the curse of the law.
</t>
        </r>
      </text>
    </comment>
    <comment ref="U2" authorId="0" shapeId="0" xr:uid="{00000000-0006-0000-0300-000006000000}">
      <text>
        <r>
          <rPr>
            <sz val="10"/>
            <color rgb="FF000000"/>
            <rFont val="Arial"/>
          </rPr>
          <t>The Lord's redemption is revealed in the baby Jesus.</t>
        </r>
      </text>
    </comment>
    <comment ref="N3" authorId="0" shapeId="0" xr:uid="{00000000-0006-0000-0300-000007000000}">
      <text>
        <r>
          <rPr>
            <sz val="10"/>
            <color rgb="FF000000"/>
            <rFont val="Arial"/>
          </rPr>
          <t>A Light Shining in Darkness: The Son of God begins his ministry
At his Baptism Jesus was anointed with the Holy Spirit and with power. In the name of God he began his public ministry of preaching and teaching about the Kingdom of God.
Jesus' Baptism in the Jordan River gives power to our Baptism. Jesus is our substitute who did everything for us "to fulfill all righteousness."</t>
        </r>
      </text>
    </comment>
    <comment ref="O3" authorId="0" shapeId="0" xr:uid="{00000000-0006-0000-0300-000008000000}">
      <text>
        <r>
          <rPr>
            <sz val="10"/>
            <color rgb="FF000000"/>
            <rFont val="Arial"/>
          </rPr>
          <t>Father in heaven, at the baptism of Jesus in the River Jordan you proclaimed him your beloved Son and anointed him with the Holy Spirit. Keep us who are baptized into Christ faithful in our calling as your children and make us heirs with him of everlasting life; through your Son, Jesus Christ our Lord, who lives and reigns with you and the Holy Spirit, one God, now and forever.</t>
        </r>
      </text>
    </comment>
    <comment ref="P3" authorId="0" shapeId="0" xr:uid="{00000000-0006-0000-0300-000009000000}">
      <text>
        <r>
          <rPr>
            <sz val="10"/>
            <color rgb="FF000000"/>
            <rFont val="Arial"/>
          </rPr>
          <t>Alleluia! You are my Son, whom I love; with you I am well pleased. Alleluia!</t>
        </r>
      </text>
    </comment>
    <comment ref="S3" authorId="0" shapeId="0" xr:uid="{00000000-0006-0000-0300-00000A000000}">
      <text>
        <r>
          <rPr>
            <sz val="10"/>
            <color rgb="FF000000"/>
            <rFont val="Arial"/>
          </rPr>
          <t>By anointing David king over Israel Samuel showed that David had the Lord's approval to reign.</t>
        </r>
      </text>
    </comment>
    <comment ref="T3" authorId="0" shapeId="0" xr:uid="{00000000-0006-0000-0300-00000B000000}">
      <text>
        <r>
          <rPr>
            <sz val="10"/>
            <color rgb="FF000000"/>
            <rFont val="Arial"/>
          </rPr>
          <t>At our baptism we were reborn and brought into God's family.</t>
        </r>
      </text>
    </comment>
    <comment ref="U3" authorId="0" shapeId="0" xr:uid="{00000000-0006-0000-0300-00000C000000}">
      <text>
        <r>
          <rPr>
            <sz val="10"/>
            <color rgb="FF000000"/>
            <rFont val="Arial"/>
          </rPr>
          <t>Jesus began his public ministry by being baptized and anointed by the Holy Spirit.</t>
        </r>
      </text>
    </comment>
    <comment ref="N4" authorId="0" shapeId="0" xr:uid="{00000000-0006-0000-0300-00000D000000}">
      <text>
        <r>
          <rPr>
            <sz val="10"/>
            <color rgb="FF000000"/>
            <rFont val="Arial"/>
          </rPr>
          <t>A Light Shining in Darkness: God's work is revealed through his people
When God works in the world he uses people to do his work. The doctor is the mask of God who brings healing. The mother is the hand of God who puts dinner on the table, cares for her children, and wipes away their tears. The truck driver is the instrument of God who providentially provides the things we need for our lives. God works through farmers and factory workers, miners and engineers, to do his work in the world, whether they realize they're serving God's purpose, or not.
When Christians use our talents, we serve in God's name and reflect God's love. We honor God by our lives of service and kindness to our neighbor.</t>
        </r>
      </text>
    </comment>
    <comment ref="O4" authorId="0" shapeId="0" xr:uid="{00000000-0006-0000-0300-00000E000000}">
      <text>
        <r>
          <rPr>
            <sz val="10"/>
            <color rgb="FF000000"/>
            <rFont val="Arial"/>
          </rPr>
          <t>Almighty God, you gave your one and only Son to be the light of the world. Grant that your people, illumined by your Word and sacraments, may shine with the radiance of Christ’s glory, that he may be known, worshiped, and believed to the ends of the earth; through Jesus Christ our Lord, who with you and the Holy Spirit lives and reigns, one God, now and forever.</t>
        </r>
      </text>
    </comment>
    <comment ref="P4" authorId="0" shapeId="0" xr:uid="{00000000-0006-0000-0300-00000F000000}">
      <text>
        <r>
          <rPr>
            <sz val="10"/>
            <color rgb="FF000000"/>
            <rFont val="Arial"/>
          </rPr>
          <t>Alleluia! He said to me, “You are my servant in whom I will display my splendor.” Alleluia!</t>
        </r>
      </text>
    </comment>
    <comment ref="S4" authorId="0" shapeId="0" xr:uid="{00000000-0006-0000-0300-000010000000}">
      <text>
        <r>
          <rPr>
            <sz val="10"/>
            <color rgb="FF000000"/>
            <rFont val="Arial"/>
          </rPr>
          <t>Israel's righteousness revealed to the nations that they were the chosen people of God.</t>
        </r>
      </text>
    </comment>
    <comment ref="T4" authorId="0" shapeId="0" xr:uid="{00000000-0006-0000-0300-000011000000}">
      <text>
        <r>
          <rPr>
            <sz val="10"/>
            <color rgb="FF000000"/>
            <rFont val="Arial"/>
          </rPr>
          <t>The Holy Spirit gives gifts to God's people to be used in service to others.</t>
        </r>
      </text>
    </comment>
    <comment ref="U4" authorId="0" shapeId="0" xr:uid="{00000000-0006-0000-0300-000012000000}">
      <text>
        <r>
          <rPr>
            <sz val="10"/>
            <color rgb="FF000000"/>
            <rFont val="Arial"/>
          </rPr>
          <t>Jesus' miracle that changed water into wine solved a practical problem for a grateful couple and was a sign that led his disciples to put their faith in him.</t>
        </r>
      </text>
    </comment>
    <comment ref="N5" authorId="0" shapeId="0" xr:uid="{00000000-0006-0000-0300-000013000000}">
      <text>
        <r>
          <rPr>
            <sz val="10"/>
            <color rgb="FF000000"/>
            <rFont val="Arial"/>
          </rPr>
          <t>A Light Shining in Darkness: Jesus is the fulfillment of prophecy
Jesus appeared as a breath of fresh air on the Galilean scene. He taught about the Kingdom of God. He healed diseases, cleansed lepers, gave sight to the blind, even raised the dead. Even more, he brought spiritual freedom, release from sin's control and condemnation, freedom from guilt, deliverance from Satan's grasp. When Jesus walked the pathways of Galilee, he brought light to the darkness of ignorance, sin, and despair. He is everything God promised, the Christ of God!</t>
        </r>
      </text>
    </comment>
    <comment ref="O5" authorId="0" shapeId="0" xr:uid="{00000000-0006-0000-0300-000014000000}">
      <text>
        <r>
          <rPr>
            <sz val="10"/>
            <color rgb="FF000000"/>
            <rFont val="Arial"/>
          </rPr>
          <t>Almighty God, you sent your Son to proclaim your kingdom and to teach with authority. Anoint us with the power of your Spirit that we, too, may bring good news to the afflicted, bind up the brokenhearted, and proclaim liberty to the captive; through Jesus Christ, your Son, our Lord, who lives and reigns with you and the Holy Spirit, one God, now and forever.</t>
        </r>
      </text>
    </comment>
    <comment ref="P5" authorId="0" shapeId="0" xr:uid="{00000000-0006-0000-0300-000015000000}">
      <text>
        <r>
          <rPr>
            <sz val="10"/>
            <color rgb="FF000000"/>
            <rFont val="Arial"/>
          </rPr>
          <t>Alleluia! Jesus went throughout Galilee, teaching, preaching, and healing every disease. Alleluia!</t>
        </r>
      </text>
    </comment>
    <comment ref="S5" authorId="0" shapeId="0" xr:uid="{00000000-0006-0000-0300-000016000000}">
      <text>
        <r>
          <rPr>
            <sz val="10"/>
            <color rgb="FF000000"/>
            <rFont val="Arial"/>
          </rPr>
          <t>Isaiah prophesies that the Messiah will deliver people from their afflictions and set the captives free.</t>
        </r>
      </text>
    </comment>
    <comment ref="T5" authorId="0" shapeId="0" xr:uid="{00000000-0006-0000-0300-000017000000}">
      <text>
        <r>
          <rPr>
            <sz val="10"/>
            <color rgb="FF000000"/>
            <rFont val="Arial"/>
          </rPr>
          <t>Christians cherish the diversity that God has created as he gives us gifts to serve.</t>
        </r>
      </text>
    </comment>
    <comment ref="U5" authorId="0" shapeId="0" xr:uid="{00000000-0006-0000-0300-000018000000}">
      <text>
        <r>
          <rPr>
            <sz val="10"/>
            <color rgb="FF000000"/>
            <rFont val="Arial"/>
          </rPr>
          <t>Jesus is the fulfillment of Isaiah's prophecy, the promised Christ who brings deliverance.</t>
        </r>
      </text>
    </comment>
    <comment ref="N6" authorId="0" shapeId="0" xr:uid="{00000000-0006-0000-0300-000019000000}">
      <text>
        <r>
          <rPr>
            <sz val="10"/>
            <color rgb="FF000000"/>
            <rFont val="Arial"/>
          </rPr>
          <t>A Light Shining in Darkness: Bringing the light to future generations
The good news of forgiveness, eternal life, hope, healing and salvation is for young and old alike. We share the light of Jesus' love with our children. Christian parents put love into practice in every part of our lives.
We want to pass along a precious gift to our children. It's the gift of forgiveness and eternal life given to us by Jesus. We want our children to know and love Jesus, and we want his light to illuminate our children's hearts and lives.</t>
        </r>
      </text>
    </comment>
    <comment ref="O6" authorId="0" shapeId="0" xr:uid="{00000000-0006-0000-0300-00001A000000}">
      <text>
        <r>
          <rPr>
            <sz val="10"/>
            <color rgb="FF000000"/>
            <rFont val="Arial"/>
          </rPr>
          <t>Lord God, you know that we are surrounded by many dangers and that we often stumble and fall. Strengthen us in body and mind, and bring us safely through all temptations; through Jesus Christ, your Son, our Lord, who lives and reigns with you and the Holy Spirit, one God, now and forever.</t>
        </r>
      </text>
    </comment>
    <comment ref="P6" authorId="0" shapeId="0" xr:uid="{00000000-0006-0000-0300-00001B000000}">
      <text>
        <r>
          <rPr>
            <sz val="10"/>
            <color rgb="FF000000"/>
            <rFont val="Arial"/>
          </rPr>
          <t>Alleluia! The Spirit of the Lord is on me; he has anointed me to preach good news. Alleluia!</t>
        </r>
      </text>
    </comment>
    <comment ref="S6" authorId="0" shapeId="0" xr:uid="{00000000-0006-0000-0300-00001C000000}">
      <text>
        <r>
          <rPr>
            <sz val="10"/>
            <color rgb="FF000000"/>
            <rFont val="Arial"/>
          </rPr>
          <t>God called the Prophet Jeremiah to pierce the darkness with his message of repentance and truth.</t>
        </r>
      </text>
    </comment>
    <comment ref="T6" authorId="0" shapeId="0" xr:uid="{00000000-0006-0000-0300-00001D000000}">
      <text>
        <r>
          <rPr>
            <sz val="10"/>
            <color rgb="FF000000"/>
            <rFont val="Arial"/>
          </rPr>
          <t>Christian love pierces the darkness with gentleness and kindness, with patience and goodness.</t>
        </r>
      </text>
    </comment>
    <comment ref="U6" authorId="0" shapeId="0" xr:uid="{00000000-0006-0000-0300-00001E000000}">
      <text>
        <r>
          <rPr>
            <sz val="10"/>
            <color rgb="FF000000"/>
            <rFont val="Arial"/>
          </rPr>
          <t>The townspeople of Nazareth resisted Jesus' light of truth, rejected him as their Savior, and preferred to remain in darkness.</t>
        </r>
      </text>
    </comment>
    <comment ref="N7" authorId="0" shapeId="0" xr:uid="{00000000-0006-0000-0300-00001F000000}">
      <text>
        <r>
          <rPr>
            <sz val="10"/>
            <color rgb="FF000000"/>
            <rFont val="Arial"/>
          </rPr>
          <t>A Light Shining in Darkness: Jesus' full glory revealed!
What would it be like if God were to pull back the veil that separates time from eternity, that separates our world from the realms of heaven, and give us a glimpse of his full glory? This is what the disciples saw when they were with Jesus on the Mount of Transfiguration.
In this dark world, the glory we share as Christians is not obvious. Many look at Christians as being ignorant or foolish because we are devoted to Christ. But we have this treasure in jars of clay to show that this all-surpassing glory is from God and not from us.</t>
        </r>
      </text>
    </comment>
    <comment ref="O7" authorId="0" shapeId="0" xr:uid="{00000000-0006-0000-0300-000020000000}">
      <text>
        <r>
          <rPr>
            <sz val="10"/>
            <color rgb="FF000000"/>
            <rFont val="Arial"/>
          </rPr>
          <t>Almighty God, you sent your one and only Son as the Word of life for our eyes to see and our ears to hear. Help us believe what the Scriptures proclaim about him and do the things that are pleasing in your sight; through Jesus Christ, your Son, our Lord, who lives and reigns with you and the Holy Spirit, one God, now and forever.</t>
        </r>
      </text>
    </comment>
    <comment ref="P7" authorId="0" shapeId="0" xr:uid="{00000000-0006-0000-0300-000021000000}">
      <text>
        <r>
          <rPr>
            <sz val="10"/>
            <color rgb="FF000000"/>
            <rFont val="Arial"/>
          </rPr>
          <t>Alleluia! Jesus said, “I am the light of the world. Whoever follows me will never walk in darkness, but will have the light of life.” Alleluia!</t>
        </r>
      </text>
    </comment>
    <comment ref="S7" authorId="0" shapeId="0" xr:uid="{00000000-0006-0000-0300-000022000000}">
      <text>
        <r>
          <rPr>
            <sz val="10"/>
            <color rgb="FF000000"/>
            <rFont val="Arial"/>
          </rPr>
          <t>Moses' face was radiant because he had been speaking with God.</t>
        </r>
      </text>
    </comment>
    <comment ref="T7" authorId="0" shapeId="0" xr:uid="{00000000-0006-0000-0300-000023000000}">
      <text>
        <r>
          <rPr>
            <sz val="10"/>
            <color rgb="FF000000"/>
            <rFont val="Arial"/>
          </rPr>
          <t>God made his glory shine in our hearts, so that we can reflect Christ's glory to others.</t>
        </r>
      </text>
    </comment>
    <comment ref="U7" authorId="0" shapeId="0" xr:uid="{00000000-0006-0000-0300-000024000000}">
      <text>
        <r>
          <rPr>
            <sz val="10"/>
            <color rgb="FF000000"/>
            <rFont val="Arial"/>
          </rPr>
          <t>On the Mountain of Transfiguration Peter, James, and John saw Jesus' glory revealed.</t>
        </r>
      </text>
    </comment>
    <comment ref="N8" authorId="0" shapeId="0" xr:uid="{00000000-0006-0000-0300-000025000000}">
      <text>
        <r>
          <rPr>
            <sz val="10"/>
            <color rgb="FF000000"/>
            <rFont val="Arial"/>
          </rPr>
          <t>Ironies of the Passion: This man went home justified
Our Lent series this year focuses on "Ironies of the Passion." Through these ironic twists of Jesus' ministry, we see that things aren't always what they seem to be to human reason and logic. In our meditation for Ash Wednesday, we see how the man who was most acutely aware of his horrible sinfulness is the one who went home completely cleansed, forgiven, and justified.</t>
        </r>
      </text>
    </comment>
    <comment ref="N9" authorId="0" shapeId="0" xr:uid="{00000000-0006-0000-0300-000026000000}">
      <text>
        <r>
          <rPr>
            <sz val="10"/>
            <color rgb="FF000000"/>
            <rFont val="Arial"/>
          </rPr>
          <t>Love without limits: Jesus steps in to battle our enemies
Temptation comes knocking. Sin seems so attractive, so alluring. We fight against temptation, but so often we stumble and fall.
In his limitless love, God gave his Son to battle temptation for us. He fights the good fight, and he is victorious every time. Jesus wins the victory over sin and evil, and he honors his Father with perfect obedience.</t>
        </r>
      </text>
    </comment>
    <comment ref="O9" authorId="0" shapeId="0" xr:uid="{00000000-0006-0000-0300-000027000000}">
      <text>
        <r>
          <rPr>
            <sz val="10"/>
            <color rgb="FF000000"/>
            <rFont val="Arial"/>
          </rPr>
          <t>Lord our strength, the battle of good and evil rages within and around us, and our ancient foe tempts us with his deceits and empty promises. Keep us steadfast in your Word, and when we fall, raise us up again and restore us through your Son, Jesus Christ our Lord, who lives and reigns with you and the Holy Spirit, one God, now and forever.</t>
        </r>
      </text>
    </comment>
    <comment ref="P9" authorId="0" shapeId="0" xr:uid="{00000000-0006-0000-0300-000028000000}">
      <text>
        <r>
          <rPr>
            <sz val="10"/>
            <color rgb="FF000000"/>
            <rFont val="Arial"/>
          </rPr>
          <t xml:space="preserve">It is written: “Worship the Lord your God, and serve him only.” </t>
        </r>
      </text>
    </comment>
    <comment ref="R9" authorId="0" shapeId="0" xr:uid="{00000000-0006-0000-0300-000029000000}">
      <text>
        <r>
          <rPr>
            <sz val="10"/>
            <color rgb="FF000000"/>
            <rFont val="Arial"/>
          </rPr>
          <t>Clutch play: Don't bobble the ball or make an error. Don't fumble on the 2 yard line. Don't miss the jumper at the buzzer. Don't give up 10 points and give the other team a comeback in the last 30 seconds.
Isn't it good that sports don't matter that much? So invested, so engaged, but in the end just a game.
In life, just two rules: Love God, love your neighbor</t>
        </r>
      </text>
    </comment>
    <comment ref="S9" authorId="0" shapeId="0" xr:uid="{00000000-0006-0000-0300-00002A000000}">
      <text>
        <r>
          <rPr>
            <sz val="10"/>
            <color rgb="FF000000"/>
            <rFont val="Arial"/>
          </rPr>
          <t>God's people are grateful for his salvation.</t>
        </r>
      </text>
    </comment>
    <comment ref="T9" authorId="0" shapeId="0" xr:uid="{00000000-0006-0000-0300-00002B000000}">
      <text>
        <r>
          <rPr>
            <sz val="10"/>
            <color rgb="FF000000"/>
            <rFont val="Arial"/>
          </rPr>
          <t>Call on the name of the Lord, and you will be saved.</t>
        </r>
      </text>
    </comment>
    <comment ref="U9" authorId="0" shapeId="0" xr:uid="{00000000-0006-0000-0300-00002C000000}">
      <text>
        <r>
          <rPr>
            <sz val="10"/>
            <color rgb="FF000000"/>
            <rFont val="Arial"/>
          </rPr>
          <t>In the face of temptation Jesus stood firm and overcame every one.</t>
        </r>
      </text>
    </comment>
    <comment ref="N10" authorId="0" shapeId="0" xr:uid="{00000000-0006-0000-0300-00002D000000}">
      <text>
        <r>
          <rPr>
            <sz val="10"/>
            <color rgb="FF000000"/>
            <rFont val="Arial"/>
          </rPr>
          <t>Ironies of the Passion: It is better that one man die for the people
The Jewish rulers thought they were eliminating a problem by getting rid of Jesus. In a divine twist, God uses their plotting and scheming to eliminate Jesus as the means through which he rescues all people on earth.</t>
        </r>
      </text>
    </comment>
    <comment ref="N11" authorId="0" shapeId="0" xr:uid="{00000000-0006-0000-0300-00002E000000}">
      <text>
        <r>
          <rPr>
            <sz val="10"/>
            <color rgb="FF000000"/>
            <rFont val="Arial"/>
          </rPr>
          <t>Love without limits: Resolute perseverance
The world opposes Christians. The world around us opposes you. The world has always opposed Jesus and his messengers of truth. This is because the world wants to do things one way, while Jesus invites his followers to walk a different path.
In his perfect love, Jesus remained resolute in the face of opposition. He never wavered in his mission to save us.</t>
        </r>
      </text>
    </comment>
    <comment ref="O11" authorId="0" shapeId="0" xr:uid="{00000000-0006-0000-0300-00002F000000}">
      <text>
        <r>
          <rPr>
            <sz val="10"/>
            <color rgb="FF000000"/>
            <rFont val="Arial"/>
          </rPr>
          <t>Almighty God, you see that we have no power to defend ourselves. Guard and keep us both outwardly and inwardly from all adversities that may happen to the body and from all evil thoughts that may assault and hurt the soul; through Jesus Christ our Lord, who lives and reigns with you and the Holy Spirit, one God, now and forever.</t>
        </r>
      </text>
    </comment>
    <comment ref="P11" authorId="0" shapeId="0" xr:uid="{00000000-0006-0000-0300-000030000000}">
      <text>
        <r>
          <rPr>
            <sz val="10"/>
            <color rgb="FF000000"/>
            <rFont val="Arial"/>
          </rPr>
          <t>Jesus humbled himself and became obedient to death, even death on a cross.</t>
        </r>
      </text>
    </comment>
    <comment ref="S11" authorId="0" shapeId="0" xr:uid="{00000000-0006-0000-0300-000031000000}">
      <text>
        <r>
          <rPr>
            <sz val="10"/>
            <color rgb="FF000000"/>
            <rFont val="Arial"/>
          </rPr>
          <t>Jeremiah remained resolute in the face of persecution when he had to speak the truth that people didn't want to hear.</t>
        </r>
      </text>
    </comment>
    <comment ref="T11" authorId="0" shapeId="0" xr:uid="{00000000-0006-0000-0300-000032000000}">
      <text>
        <r>
          <rPr>
            <sz val="10"/>
            <color rgb="FF000000"/>
            <rFont val="Arial"/>
          </rPr>
          <t>The world's focus is on pleasure. Our citizenship is in heaven. Christians stand firm and remain resolute in our walk toward our heavenly goal.</t>
        </r>
      </text>
    </comment>
    <comment ref="U11" authorId="0" shapeId="0" xr:uid="{00000000-0006-0000-0300-000033000000}">
      <text>
        <r>
          <rPr>
            <sz val="10"/>
            <color rgb="FF000000"/>
            <rFont val="Arial"/>
          </rPr>
          <t>Jesus wept for Jerusalem as he resolutely pressed on toward the goal of winning salvation.</t>
        </r>
      </text>
    </comment>
    <comment ref="N12" authorId="0" shapeId="0" xr:uid="{00000000-0006-0000-0300-000034000000}">
      <text>
        <r>
          <rPr>
            <sz val="10"/>
            <color rgb="FF000000"/>
            <rFont val="Arial"/>
          </rPr>
          <t>Ironies of the Passion: Not during the feast
The Jewish leaders had their murderous plan completely scripted. They wanted Jesus gone, but not during the Feast of the Passover. Since Jesus was a popular rabbi, taking him out with so many people present could prompt rioting in the crowds. How ironic that God chose to sacrifice his Son precisely at the time when the Passover Lamb was sacrificed!</t>
        </r>
      </text>
    </comment>
    <comment ref="N13" authorId="0" shapeId="0" xr:uid="{00000000-0006-0000-0300-000035000000}">
      <text>
        <r>
          <rPr>
            <sz val="10"/>
            <color rgb="FF000000"/>
            <rFont val="Arial"/>
          </rPr>
          <t>Love without limits: The promise of complete forgiveness
Why is it so hard to confess our sins and admit our guilt? Isn't it because admitting we've done wrong, broken God's law, and hurt our neighbor leaves us exposed and helpless? We have no more excuses to hide behind.
Christians can always confess our sins because we know God's answer to sin. It is not in self-justification. It is complete forgiveness in the cleansing blood of his Son, Jesus Christ. Our whole lives are lived in repentance, as we're confident of God's forgiveness in Christ.</t>
        </r>
      </text>
    </comment>
    <comment ref="O13" authorId="0" shapeId="0" xr:uid="{00000000-0006-0000-0300-000036000000}">
      <text>
        <r>
          <rPr>
            <sz val="10"/>
            <color rgb="FF000000"/>
            <rFont val="Arial"/>
          </rPr>
          <t>Almighty God, look with favor on your humble servants and stretch out the right hand of your power to defend us against all our enemies; through Jesus Christ, your Son, our Lord, who lives and reigns with you and the Holy Spirit, one God, now and forever.</t>
        </r>
      </text>
    </comment>
    <comment ref="P13" authorId="0" shapeId="0" xr:uid="{00000000-0006-0000-0300-000037000000}">
      <text>
        <r>
          <rPr>
            <sz val="10"/>
            <color rgb="FF000000"/>
            <rFont val="Arial"/>
          </rPr>
          <t xml:space="preserve">Just as Moses lifted up the snake in the desert, so the Son of Man must be lifted up, that everyone who believes in him may have eternal life. </t>
        </r>
      </text>
    </comment>
    <comment ref="S13" authorId="0" shapeId="0" xr:uid="{00000000-0006-0000-0300-000038000000}">
      <text>
        <r>
          <rPr>
            <sz val="10"/>
            <color rgb="FF000000"/>
            <rFont val="Arial"/>
          </rPr>
          <t>The Lord is the faithful God, whose name means deliverance and salvation.</t>
        </r>
      </text>
    </comment>
    <comment ref="T13" authorId="0" shapeId="0" xr:uid="{00000000-0006-0000-0300-000039000000}">
      <text>
        <r>
          <rPr>
            <sz val="10"/>
            <color rgb="FF000000"/>
            <rFont val="Arial"/>
          </rPr>
          <t>Turn from temptation, leave sin behind, and walk in humble repentance, confident of God's forgiveness.</t>
        </r>
      </text>
    </comment>
    <comment ref="U13" authorId="0" shapeId="0" xr:uid="{00000000-0006-0000-0300-00003A000000}">
      <text>
        <r>
          <rPr>
            <sz val="10"/>
            <color rgb="FF000000"/>
            <rFont val="Arial"/>
          </rPr>
          <t>A good tree produces good fruit. A Christian life produces the fruit of repentance.</t>
        </r>
      </text>
    </comment>
    <comment ref="N14" authorId="0" shapeId="0" xr:uid="{00000000-0006-0000-0300-00003B000000}">
      <text>
        <r>
          <rPr>
            <sz val="10"/>
            <color rgb="FF000000"/>
            <rFont val="Arial"/>
          </rPr>
          <t>Ironies of the Passion: He had been wanting to see Jesus
Herod, Tetrarch of Galilee, had heard of Jesus. He wanted to see the miracle worker from Nazareth and Capernaum. When he finally met the Lord in person, it was as Jesus was about to embark on the greatest, most miraculous journey of all, the trip to Calvary for the salvation of the world. Sadly, this great miracle wasn't what Herod had in mind when he finally met the King of the Jews.</t>
        </r>
      </text>
    </comment>
    <comment ref="N15" authorId="0" shapeId="0" xr:uid="{00000000-0006-0000-0300-00003C000000}">
      <text>
        <r>
          <rPr>
            <sz val="10"/>
            <color rgb="FF000000"/>
            <rFont val="Arial"/>
          </rPr>
          <t>Love without limits: Welcome in our Father's home
Like rebellious children we want to squirm away and do our own thing. God is angered and saddened at our rebellion because he knows it leads to terrible pain and eternal destruction. He only wants to welcome us back and bring us home.
Jesus lovingly invites us to leave our sinful ways and return to our Father. We find comfort, peace, forgiveness, and a warm welcome in our Father's home.</t>
        </r>
      </text>
    </comment>
    <comment ref="O15" authorId="0" shapeId="0" xr:uid="{00000000-0006-0000-0300-00003D000000}">
      <text>
        <r>
          <rPr>
            <sz val="10"/>
            <color rgb="FF000000"/>
            <rFont val="Arial"/>
          </rPr>
          <t>Almighty God, we confess that we deserve to be punished for our evil deeds. But we ask you graciously to cleanse us from all sin and to comfort us with your salvation; through your Son, Jesus Christ our Lord, who lives and reigns with you and the Holy Spirit, one God, now and forever.</t>
        </r>
      </text>
    </comment>
    <comment ref="P15" authorId="0" shapeId="0" xr:uid="{00000000-0006-0000-0300-00003E000000}">
      <text>
        <r>
          <rPr>
            <sz val="10"/>
            <color rgb="FF000000"/>
            <rFont val="Arial"/>
          </rPr>
          <t xml:space="preserve">For God so loved the world that he gave his one and only Son, that whoever believes in him shall not perish but have eternal life. </t>
        </r>
      </text>
    </comment>
    <comment ref="S15" authorId="0" shapeId="0" xr:uid="{00000000-0006-0000-0300-00003F000000}">
      <text>
        <r>
          <rPr>
            <sz val="10"/>
            <color rgb="FF000000"/>
            <rFont val="Arial"/>
          </rPr>
          <t xml:space="preserve">God's fierce anger has turned to comfort and salvation. </t>
        </r>
      </text>
    </comment>
    <comment ref="T15" authorId="0" shapeId="0" xr:uid="{00000000-0006-0000-0300-000040000000}">
      <text>
        <r>
          <rPr>
            <sz val="10"/>
            <color rgb="FF000000"/>
            <rFont val="Arial"/>
          </rPr>
          <t>We preach Christ crucified, because that message is the power of salvation.</t>
        </r>
      </text>
    </comment>
    <comment ref="U15" authorId="0" shapeId="0" xr:uid="{00000000-0006-0000-0300-000041000000}">
      <text>
        <r>
          <rPr>
            <sz val="10"/>
            <color rgb="FF000000"/>
            <rFont val="Arial"/>
          </rPr>
          <t>The lost son found a warm welcome in his father's home.</t>
        </r>
      </text>
    </comment>
    <comment ref="N16" authorId="0" shapeId="0" xr:uid="{00000000-0006-0000-0300-000042000000}">
      <text>
        <r>
          <rPr>
            <sz val="10"/>
            <color rgb="FF000000"/>
            <rFont val="Arial"/>
          </rPr>
          <t>Ironies of the Passion: We have no king but Caesar
The Jews despised their Roman oppressors. Their nation was being occupied by these unclean foreigners. They could not govern themselves but instead were subject to the whims of Caesar in Rome. How ironic that at the time when it mattered the most, when King Jesus stood on trial before the Roman governor, the Jews claimed to have no king but Caesar!</t>
        </r>
      </text>
    </comment>
    <comment ref="N17" authorId="0" shapeId="0" xr:uid="{00000000-0006-0000-0300-000043000000}">
      <text>
        <r>
          <rPr>
            <sz val="10"/>
            <color rgb="FF000000"/>
            <rFont val="Arial"/>
          </rPr>
          <t>Love without limits: We are heirs of salvation!
What a noble calling the Lord has invited us to share! Our sins have been forgiven. We have been rescued from eternal condemnation. We have been given Christ's righteousness as a glorious robe to wear. We  have been set free to serve the Lord as people who are devoted to him.</t>
        </r>
      </text>
    </comment>
    <comment ref="O17" authorId="0" shapeId="0" xr:uid="{00000000-0006-0000-0300-000044000000}">
      <text>
        <r>
          <rPr>
            <sz val="10"/>
            <color rgb="FF000000"/>
            <rFont val="Arial"/>
          </rPr>
          <t>Eternal God and Father, help us to remember Jesus, who obeyed your will and bore the cross for our salvation that through his anguish, pain, and death we may receive forgiveness of sins and inherit eternal life; through your Son, Jesus Christ our Lord, who lives and reigns with you and the Holy Spirit, one God, now and forever.</t>
        </r>
      </text>
    </comment>
    <comment ref="P17" authorId="0" shapeId="0" xr:uid="{00000000-0006-0000-0300-000045000000}">
      <text>
        <r>
          <rPr>
            <sz val="10"/>
            <color rgb="FF000000"/>
            <rFont val="Arial"/>
          </rPr>
          <t xml:space="preserve">The Son of Man did not come to be served, but to serve, and to give his life as a ransom for many. </t>
        </r>
      </text>
    </comment>
    <comment ref="S17" authorId="0" shapeId="0" xr:uid="{00000000-0006-0000-0300-000046000000}">
      <text>
        <r>
          <rPr>
            <sz val="10"/>
            <color rgb="FF000000"/>
            <rFont val="Arial"/>
          </rPr>
          <t>God created us and redeemed us for himself, so that we might praise him.</t>
        </r>
      </text>
    </comment>
    <comment ref="T17" authorId="0" shapeId="0" xr:uid="{00000000-0006-0000-0300-000047000000}">
      <text>
        <r>
          <rPr>
            <sz val="10"/>
            <color rgb="FF000000"/>
            <rFont val="Arial"/>
          </rPr>
          <t>We press on and strive to take hold of the heavenly gift given to us.</t>
        </r>
      </text>
    </comment>
    <comment ref="U17" authorId="0" shapeId="0" xr:uid="{00000000-0006-0000-0300-000048000000}">
      <text>
        <r>
          <rPr>
            <sz val="10"/>
            <color rgb="FF000000"/>
            <rFont val="Arial"/>
          </rPr>
          <t>While many have rejected God's prophets and his Son, we are blessed to see Jesus as our Savior.</t>
        </r>
      </text>
    </comment>
    <comment ref="N18" authorId="0" shapeId="0" xr:uid="{00000000-0006-0000-0300-000049000000}">
      <text>
        <r>
          <rPr>
            <sz val="10"/>
            <color rgb="FF000000"/>
            <rFont val="Arial"/>
          </rPr>
          <t>Ironies of the Passion: Don't you fear God?
Both thieves were condemned to die alongside Jesus. Both men were facing eternity and a date with God in the judgment. One of them humbled himself and looked to Jesus with eyes of hope and a heart of trust. Jesus did not let him down.</t>
        </r>
      </text>
    </comment>
    <comment ref="N19" authorId="0" shapeId="0" xr:uid="{00000000-0006-0000-0300-00004A000000}">
      <text>
        <r>
          <rPr>
            <sz val="10"/>
            <color rgb="FF000000"/>
            <rFont val="Arial"/>
          </rPr>
          <t>Love without limits: His journey ended at the cross
Palm Sunday marks Jesus' triumphant entry in to Jerusalem. But his journey to Jerusalem doesn't end on a throne surrounded by majesty and power, as his disciples hoped. Instead it culminates in a trip to the cross, where Jesus will die in shame. Here is the outcome of a loving Savior so great that he was willing to sacrifice everything. His triumphant journey ends at Calvary.</t>
        </r>
      </text>
    </comment>
    <comment ref="O19" authorId="0" shapeId="0" xr:uid="{00000000-0006-0000-0300-00004B000000}">
      <text>
        <r>
          <rPr>
            <sz val="10"/>
            <color rgb="FF000000"/>
            <rFont val="Arial"/>
          </rPr>
          <t>We praise you, O God, for the great acts of love by which you have redeemed us through your Son, Jesus Christ. As he was acclaimed by those who scattered their garments and branches of palms in his path, so may we always hail him as our King and follow him with perfect confidence; who lives and reigns with you and the Holy Spirit, one God, now and forever.</t>
        </r>
      </text>
    </comment>
    <comment ref="P19" authorId="0" shapeId="0" xr:uid="{00000000-0006-0000-0300-00004C000000}">
      <text>
        <r>
          <rPr>
            <sz val="10"/>
            <color rgb="FF000000"/>
            <rFont val="Arial"/>
          </rPr>
          <t xml:space="preserve">The hour has come for the Son of Man to be glorified. </t>
        </r>
      </text>
    </comment>
    <comment ref="S19" authorId="0" shapeId="0" xr:uid="{00000000-0006-0000-0300-00004D000000}">
      <text>
        <r>
          <rPr>
            <sz val="10"/>
            <color rgb="FF000000"/>
            <rFont val="Arial"/>
          </rPr>
          <t>Our King came in humility and gentleness, riding on a donkey.</t>
        </r>
      </text>
    </comment>
    <comment ref="T19" authorId="0" shapeId="0" xr:uid="{00000000-0006-0000-0300-00004E000000}">
      <text>
        <r>
          <rPr>
            <sz val="10"/>
            <color rgb="FF000000"/>
            <rFont val="Arial"/>
          </rPr>
          <t>Jesus humbled himself and became obedient to death, even death on a cross.</t>
        </r>
      </text>
    </comment>
    <comment ref="U19" authorId="0" shapeId="0" xr:uid="{00000000-0006-0000-0300-00004F000000}">
      <text>
        <r>
          <rPr>
            <sz val="10"/>
            <color rgb="FF000000"/>
            <rFont val="Arial"/>
          </rPr>
          <t>"Hosanna!" means "Save us!" Jesus' journey into Jerusalem ended with his gaining salvation for the world.</t>
        </r>
      </text>
    </comment>
    <comment ref="N20" authorId="0" shapeId="0" xr:uid="{00000000-0006-0000-0300-000050000000}">
      <text>
        <r>
          <rPr>
            <sz val="10"/>
            <color rgb="FF000000"/>
            <rFont val="Arial"/>
          </rPr>
          <t>Ironies of the Passion: Do This in Remembrance of Me
Jesus left us a lasting covenant to endure until the end of time. Each time we eat and drink the body and blood of Christ in Communion, we recall his death and everything it has gained for us. In Holy Communion all of the blessings of Jesus' life, passion, death and resurrection are given personally to us. In this sacrament we have the forgiveness of sins, peace with God, and eternal life.</t>
        </r>
      </text>
    </comment>
    <comment ref="S20" authorId="0" shapeId="0" xr:uid="{00000000-0006-0000-0300-000051000000}">
      <text>
        <r>
          <rPr>
            <sz val="10"/>
            <color rgb="FF000000"/>
            <rFont val="Arial"/>
          </rPr>
          <t>The Passover proclaimed God's great act of love and deliverance: the exodus from Egypt.</t>
        </r>
      </text>
    </comment>
    <comment ref="T20" authorId="0" shapeId="0" xr:uid="{00000000-0006-0000-0300-000052000000}">
      <text>
        <r>
          <rPr>
            <sz val="10"/>
            <color rgb="FF000000"/>
            <rFont val="Arial"/>
          </rPr>
          <t>We are united in a covenant of grace into one body of Christ through a shared faith in our Savior.</t>
        </r>
      </text>
    </comment>
    <comment ref="U20" authorId="0" shapeId="0" xr:uid="{00000000-0006-0000-0300-000053000000}">
      <text>
        <r>
          <rPr>
            <sz val="10"/>
            <color rgb="FF000000"/>
            <rFont val="Arial"/>
          </rPr>
          <t>Holy Communion looks back to Jesus' deliverance from sin, and it looks forward to a banquet in heaven.</t>
        </r>
      </text>
    </comment>
    <comment ref="X20" authorId="0" shapeId="0" xr:uid="{00000000-0006-0000-0300-000054000000}">
      <text>
        <r>
          <rPr>
            <sz val="10"/>
            <color rgb="FF000000"/>
            <rFont val="Arial"/>
          </rPr>
          <t>Use Hymn 307 as part of the confession/absolution after the sermon. Use confessional service similar to p. 48 in TLH.</t>
        </r>
      </text>
    </comment>
    <comment ref="N21" authorId="0" shapeId="0" xr:uid="{00000000-0006-0000-0300-000055000000}">
      <text>
        <r>
          <rPr>
            <sz val="10"/>
            <color rgb="FF000000"/>
            <rFont val="Arial"/>
          </rPr>
          <t>Ironies of the Passion: He said, "I will rise again."
One of the greatest ironies of Jesus' ministry is that his death resulted in life. His shame resulted in eternal glory. Jesus died to take away sin by the sacrifice of himself, and with his death he destroyed the power of sin, death, Satan and hell to accuse us. We are set free by his blood!</t>
        </r>
      </text>
    </comment>
    <comment ref="S21" authorId="0" shapeId="0" xr:uid="{00000000-0006-0000-0300-000056000000}">
      <text>
        <r>
          <rPr>
            <sz val="10"/>
            <color rgb="FF000000"/>
            <rFont val="Arial"/>
          </rPr>
          <t>The suffering servant is disfigured beyond belief, but from his wretched agony comes justification for sinners.</t>
        </r>
      </text>
    </comment>
    <comment ref="T21" authorId="0" shapeId="0" xr:uid="{00000000-0006-0000-0300-000057000000}">
      <text>
        <r>
          <rPr>
            <sz val="10"/>
            <color rgb="FF000000"/>
            <rFont val="Arial"/>
          </rPr>
          <t>Jesus, our great High Priest, intercedes for sinners before the throne of the Father and offers his own blood as the once-for-all sacrifice for sin.</t>
        </r>
      </text>
    </comment>
    <comment ref="U21" authorId="0" shapeId="0" xr:uid="{00000000-0006-0000-0300-000058000000}">
      <text>
        <r>
          <rPr>
            <sz val="10"/>
            <color rgb="FF000000"/>
            <rFont val="Arial"/>
          </rPr>
          <t>With the words "It is finished," Jesus declares his own work to be complete and the sin of the world to be forgiven.</t>
        </r>
      </text>
    </comment>
    <comment ref="X21" authorId="0" shapeId="0" xr:uid="{00000000-0006-0000-0300-000059000000}">
      <text>
        <r>
          <rPr>
            <sz val="10"/>
            <color rgb="FF000000"/>
            <rFont val="Arial"/>
          </rPr>
          <t>Use 105:5 as the sung response to the sermon</t>
        </r>
      </text>
    </comment>
    <comment ref="N22" authorId="0" shapeId="0" xr:uid="{00000000-0006-0000-0300-00005A000000}">
      <text>
        <r>
          <rPr>
            <sz val="10"/>
            <color rgb="FF000000"/>
            <rFont val="Arial"/>
          </rPr>
          <t>Ironies of the Passion: He said, "I will rise again."
One of the greatest ironies of Jesus' ministry is that his death resulted in life. His shame resulted in eternal glory. Jesus died to take away sin by the sacrifice of himself, and with his death he destroyed the power of sin, death, Satan and hell to accuse us. We are set free by his blood!</t>
        </r>
      </text>
    </comment>
    <comment ref="C23" authorId="0" shapeId="0" xr:uid="{00000000-0006-0000-0300-00005B000000}">
      <text>
        <r>
          <rPr>
            <sz val="10"/>
            <color rgb="FF000000"/>
            <rFont val="Arial"/>
          </rPr>
          <t>6:30 and 9:15 a.m.</t>
        </r>
      </text>
    </comment>
    <comment ref="N23" authorId="0" shapeId="0" xr:uid="{00000000-0006-0000-0300-00005C000000}">
      <text>
        <r>
          <rPr>
            <sz val="10"/>
            <color rgb="FF000000"/>
            <rFont val="Arial"/>
          </rPr>
          <t>God wins! We celebrate with singing
At Easter we celebrate the greatest victory ever. Death has to give up its grip on Jesus. The grave must let Jesus go. On Good Friday our Savior fought to the death with our sin and the heavy load of our guilt that was laid on him. On Easter God shows everyone that Jesus' sacrifice on the cross was acceptable and complete by raising Jesus from the dead.
Thanks be to God! He gives us the victory through our Lord Jesus Christ!</t>
        </r>
      </text>
    </comment>
    <comment ref="S23" authorId="0" shapeId="0" xr:uid="{00000000-0006-0000-0300-00005D000000}">
      <text>
        <r>
          <rPr>
            <sz val="10"/>
            <color rgb="FF000000"/>
            <rFont val="Arial"/>
          </rPr>
          <t>Isaiah sings a song of triumph as he celebrates the Lord's victory.</t>
        </r>
      </text>
    </comment>
    <comment ref="T23" authorId="0" shapeId="0" xr:uid="{00000000-0006-0000-0300-00005E000000}">
      <text>
        <r>
          <rPr>
            <sz val="10"/>
            <color rgb="FF000000"/>
            <rFont val="Arial"/>
          </rPr>
          <t>Jesus has won the victory over death and its sting!</t>
        </r>
      </text>
    </comment>
    <comment ref="U23" authorId="0" shapeId="0" xr:uid="{00000000-0006-0000-0300-00005F000000}">
      <text>
        <r>
          <rPr>
            <sz val="10"/>
            <color rgb="FF000000"/>
            <rFont val="Arial"/>
          </rPr>
          <t>Jesus' first appearance on Easter was to Mary Magdalene.</t>
        </r>
      </text>
    </comment>
    <comment ref="C24" authorId="0" shapeId="0" xr:uid="{00000000-0006-0000-0300-000060000000}">
      <text>
        <r>
          <rPr>
            <sz val="10"/>
            <color rgb="FF000000"/>
            <rFont val="Arial"/>
          </rPr>
          <t>7:45 and 10:30 a.m.</t>
        </r>
      </text>
    </comment>
    <comment ref="N24" authorId="0" shapeId="0" xr:uid="{00000000-0006-0000-0300-000061000000}">
      <text>
        <r>
          <rPr>
            <sz val="10"/>
            <color rgb="FF000000"/>
            <rFont val="Arial"/>
          </rPr>
          <t>God wins! Jesus' victory is ours
At Easter we celebrate the greatest victory ever. Death has to give up its grip on Jesus. The grave must let Jesus go. On Good Friday our Savior fought to the death with our sin and the heavy load of our guilt that was laid on him. On Easter God shows everyone that Jesus' sacrifice on the cross was acceptable and complete by raising Jesus from the dead.
Thanks be to God! He gives us the victory through our Lord Jesus Christ!</t>
        </r>
      </text>
    </comment>
    <comment ref="O24" authorId="0" shapeId="0" xr:uid="{00000000-0006-0000-0300-000062000000}">
      <text>
        <r>
          <rPr>
            <sz val="10"/>
            <color rgb="FF000000"/>
            <rFont val="Arial"/>
          </rPr>
          <t>Almighty God, by the glorious resurrection of your Son Jesus Christ you conquered death and opened the gate to eternal life. Grant that we, who have been raised with him through baptism, may walk in newness of life and ever rejoice in the hope of sharing his glory; through Jesus Christ our Lord, to whom, with you and the Holy Spirit be dominion and praise now and forever.</t>
        </r>
      </text>
    </comment>
    <comment ref="P24" authorId="0" shapeId="0" xr:uid="{00000000-0006-0000-0300-000063000000}">
      <text>
        <r>
          <rPr>
            <sz val="10"/>
            <color rgb="FF000000"/>
            <rFont val="Arial"/>
          </rPr>
          <t>This is the day the Lord has made; let us rejoice and be glad in it.</t>
        </r>
      </text>
    </comment>
    <comment ref="S24" authorId="0" shapeId="0" xr:uid="{00000000-0006-0000-0300-000064000000}">
      <text>
        <r>
          <rPr>
            <sz val="10"/>
            <color rgb="FF000000"/>
            <rFont val="Arial"/>
          </rPr>
          <t>God delivered his people from their enemies, and Moses and Miriam responded with a song of praise.</t>
        </r>
      </text>
    </comment>
    <comment ref="T24" authorId="0" shapeId="0" xr:uid="{00000000-0006-0000-0300-000065000000}">
      <text>
        <r>
          <rPr>
            <sz val="10"/>
            <color rgb="FF000000"/>
            <rFont val="Arial"/>
          </rPr>
          <t>If Christ were not raised, then there is no resurrection for anyone. But Christ has indeed been raised from the dead.</t>
        </r>
      </text>
    </comment>
    <comment ref="U24" authorId="0" shapeId="0" xr:uid="{00000000-0006-0000-0300-000066000000}">
      <text>
        <r>
          <rPr>
            <sz val="10"/>
            <color rgb="FF000000"/>
            <rFont val="Arial"/>
          </rPr>
          <t>Luke carefully documents the resurrection of our Lord.</t>
        </r>
      </text>
    </comment>
    <comment ref="K25" authorId="0" shapeId="0" xr:uid="{00000000-0006-0000-0300-000067000000}">
      <text>
        <r>
          <rPr>
            <sz val="10"/>
            <color rgb="FF000000"/>
            <rFont val="Arial"/>
          </rPr>
          <t>Paige Leppert
Clayton Leppert
Affirmation of baptism and prayer of thanks for the adoption into the family of Michael and Emily Leppert. The baptism was completed on Nov 19, 2014.</t>
        </r>
      </text>
    </comment>
    <comment ref="N25" authorId="0" shapeId="0" xr:uid="{00000000-0006-0000-0300-000068000000}">
      <text>
        <r>
          <rPr>
            <sz val="10"/>
            <color rgb="FF000000"/>
            <rFont val="Arial"/>
          </rPr>
          <t>God wins! Jesus is victorious over Death
It is the enemy we must all face. It is the enemy that is the final slap in the face of sinners. It is the enemy that wants to hold us in its clutches forever. The enemy is Death. 
But in the face of Death Jesus stands victorious. He defeated Death with his Easter resurrection from the dead, and Death is powerless against him. Jesus holds the keys to Death and Hades, and all who trust in Jesus share in his victory over Death.</t>
        </r>
      </text>
    </comment>
    <comment ref="S25" authorId="0" shapeId="0" xr:uid="{00000000-0006-0000-0300-000069000000}">
      <text>
        <r>
          <rPr>
            <sz val="10"/>
            <color rgb="FF000000"/>
            <rFont val="Arial"/>
          </rPr>
          <t>The apostles were compelled to testify to Jesus' resurrection, even if it meant persecution.</t>
        </r>
      </text>
    </comment>
    <comment ref="T25" authorId="0" shapeId="0" xr:uid="{00000000-0006-0000-0300-00006A000000}">
      <text>
        <r>
          <rPr>
            <sz val="10"/>
            <color rgb="FF000000"/>
            <rFont val="Arial"/>
          </rPr>
          <t>Jesus holds the keys to set people free from death and Hades.</t>
        </r>
      </text>
    </comment>
    <comment ref="U25" authorId="0" shapeId="0" xr:uid="{00000000-0006-0000-0300-00006B000000}">
      <text>
        <r>
          <rPr>
            <sz val="10"/>
            <color rgb="FF000000"/>
            <rFont val="Arial"/>
          </rPr>
          <t>To doubting Thomas Jesus says, "Blessed are those who have not seen and yet have believed."</t>
        </r>
      </text>
    </comment>
    <comment ref="N26" authorId="0" shapeId="0" xr:uid="{00000000-0006-0000-0300-00006C000000}">
      <text>
        <r>
          <rPr>
            <sz val="10"/>
            <color rgb="FF000000"/>
            <rFont val="Arial"/>
          </rPr>
          <t>God wins! Witnesses see the resurrected Christ
God wants everyone to know and believe that Jesus Christ was both crucified and raised to life. After the third day, when Jesus rose from the dead, he appeared to many people to show them that he was alive. He showed them his hands and his feet and his pierced side. He let them touch his wounds. He ate with them and talked with them to show them that he was not an apparition but the real, live, resurrected Lord.
The testimony of these men and women is recorded in Holy Scripture. These believers documented what they heard and saw. They recorded their experiences with Jesus in writing, so that we may believe that Jesus is the Christ the Son of God, and that believing we may have life in his name.</t>
        </r>
      </text>
    </comment>
    <comment ref="S26" authorId="0" shapeId="0" xr:uid="{00000000-0006-0000-0300-00006D000000}">
      <text>
        <r>
          <rPr>
            <sz val="10"/>
            <color rgb="FF000000"/>
            <rFont val="Arial"/>
          </rPr>
          <t>Saul the persecutor sees the risen and ruling Christ.</t>
        </r>
      </text>
    </comment>
    <comment ref="T26" authorId="0" shapeId="0" xr:uid="{00000000-0006-0000-0300-00006E000000}">
      <text>
        <r>
          <rPr>
            <sz val="10"/>
            <color rgb="FF000000"/>
            <rFont val="Arial"/>
          </rPr>
          <t>Jesus deserves all glory and honor for his eternal victory!</t>
        </r>
      </text>
    </comment>
    <comment ref="U26" authorId="0" shapeId="0" xr:uid="{00000000-0006-0000-0300-00006F000000}">
      <text>
        <r>
          <rPr>
            <sz val="10"/>
            <color rgb="FF000000"/>
            <rFont val="Arial"/>
          </rPr>
          <t>The disciples talk and eat with the resurrected Jesus.</t>
        </r>
      </text>
    </comment>
    <comment ref="N27" authorId="0" shapeId="0" xr:uid="{00000000-0006-0000-0300-000070000000}">
      <text>
        <r>
          <rPr>
            <sz val="10"/>
            <color rgb="FF000000"/>
            <rFont val="Arial"/>
          </rPr>
          <t>God wins! Our Good Shepherd cares for his precious flock
God is undefeated and undefeatable. What comfort and encouragement we find in this truth, as we see that God uses his mighty power to shepherd his sheep and care for his flock. Jesus, our victorious champion, is our Good Shepherd. He wants the very best for us. He cares for us day by day. He protects us from our enemies and leads us into eternal life.</t>
        </r>
      </text>
    </comment>
    <comment ref="S27" authorId="0" shapeId="0" xr:uid="{00000000-0006-0000-0300-000071000000}">
      <text>
        <r>
          <rPr>
            <sz val="10"/>
            <color rgb="FF000000"/>
            <rFont val="Arial"/>
          </rPr>
          <t>Paul testifies boldly that Jesus is the Christ of God.</t>
        </r>
      </text>
    </comment>
    <comment ref="T27" authorId="0" shapeId="0" xr:uid="{00000000-0006-0000-0300-000072000000}">
      <text>
        <r>
          <rPr>
            <sz val="10"/>
            <color rgb="FF000000"/>
            <rFont val="Arial"/>
          </rPr>
          <t>Our Good Shepherd will care for his sheep in heaven forever.</t>
        </r>
      </text>
    </comment>
    <comment ref="U27" authorId="0" shapeId="0" xr:uid="{00000000-0006-0000-0300-000073000000}">
      <text>
        <r>
          <rPr>
            <sz val="10"/>
            <color rgb="FF000000"/>
            <rFont val="Arial"/>
          </rPr>
          <t>The Good Shepherd cares for his flock and even lays down his life for the sheep.</t>
        </r>
      </text>
    </comment>
    <comment ref="N28" authorId="0" shapeId="0" xr:uid="{00000000-0006-0000-0300-000074000000}">
      <text>
        <r>
          <rPr>
            <sz val="10"/>
            <color rgb="FF000000"/>
            <rFont val="Arial"/>
          </rPr>
          <t>God wins! Jesus' victory is for all people
When Jesus died on the cross he died for everyone. When Jesus rose again from the dead, his victory was for everyone. God wants all people to know and trust his Son and receive the gift of eternal life.
The good news of Jesus' resurrection is not just for some segments of the population. It's not limited to the young or to the old, to people of different cultures, races and backgrounds, to rich or to poor. The good news is for the entire human race. God wants all to be saved and to come to a knowledge of the truth!</t>
        </r>
      </text>
    </comment>
    <comment ref="S28" authorId="0" shapeId="0" xr:uid="{00000000-0006-0000-0300-000075000000}">
      <text>
        <r>
          <rPr>
            <sz val="10"/>
            <color rgb="FF000000"/>
            <rFont val="Arial"/>
          </rPr>
          <t>God's resurrection victory is for both Jews and Gentiles.</t>
        </r>
      </text>
    </comment>
    <comment ref="T28" authorId="0" shapeId="0" xr:uid="{00000000-0006-0000-0300-000076000000}">
      <text>
        <r>
          <rPr>
            <sz val="10"/>
            <color rgb="FF000000"/>
            <rFont val="Arial"/>
          </rPr>
          <t>God will create a new heaven and a new earth for his people, the home of righteousness.</t>
        </r>
      </text>
    </comment>
    <comment ref="U28" authorId="0" shapeId="0" xr:uid="{00000000-0006-0000-0300-000077000000}">
      <text>
        <r>
          <rPr>
            <sz val="10"/>
            <color rgb="FF000000"/>
            <rFont val="Arial"/>
          </rPr>
          <t>Christian love is the hallmark by which Christians are known.</t>
        </r>
      </text>
    </comment>
    <comment ref="N29" authorId="0" shapeId="0" xr:uid="{00000000-0006-0000-0300-000078000000}">
      <text>
        <r>
          <rPr>
            <sz val="10"/>
            <color rgb="FF000000"/>
            <rFont val="Arial"/>
          </rPr>
          <t>God wins! Jesus breaks the darkness with his light of truth
Human ignorance creates idols -- false gods -- to worship. They  might be idols of stone or merely figments of human imagination. Either way, they are false and do not exist.
Jesus turns us away from the gods of our own making and invites us to walk in the light of truth. His Holy Spirit calls us from the darkness of sin, ignorance, and unbelief. He teaches us his truth and invites us to bask in it forever.</t>
        </r>
      </text>
    </comment>
    <comment ref="O29" authorId="0" shapeId="0" xr:uid="{00000000-0006-0000-0300-000079000000}">
      <text>
        <r>
          <rPr>
            <sz val="10"/>
            <color rgb="FF000000"/>
            <rFont val="Arial"/>
          </rPr>
          <t>Father of lights, every good and perfect gift comes from you. Inspire us to think those things that are true and long for those things that are good, that we may always make our petitions according to your gracious will; through your Son, Jesus Christ our Lord, who lives and reigns with you and the Holy Spirit, one God, now and forever.</t>
        </r>
      </text>
    </comment>
    <comment ref="P29" authorId="0" shapeId="0" xr:uid="{00000000-0006-0000-0300-00007A000000}">
      <text>
        <r>
          <rPr>
            <sz val="10"/>
            <color rgb="FF000000"/>
            <rFont val="Arial"/>
          </rPr>
          <t xml:space="preserve">Alleluia. Alleluia. Christ is risen! He is risen indeed! Alleluia. If anyone loves me, he will obey my teaching. My Father will love him, and we will come to him and make our home with him. Alleluia. </t>
        </r>
      </text>
    </comment>
    <comment ref="S29" authorId="0" shapeId="0" xr:uid="{00000000-0006-0000-0300-00007B000000}">
      <text>
        <r>
          <rPr>
            <sz val="10"/>
            <color rgb="FF000000"/>
            <rFont val="Arial"/>
          </rPr>
          <t>The powerful gospel turns people away from empty idols to the true and living God.</t>
        </r>
      </text>
    </comment>
    <comment ref="T29" authorId="0" shapeId="0" xr:uid="{00000000-0006-0000-0300-00007C000000}">
      <text>
        <r>
          <rPr>
            <sz val="10"/>
            <color rgb="FF000000"/>
            <rFont val="Arial"/>
          </rPr>
          <t>In heaven Jesus will be our light forever.</t>
        </r>
      </text>
    </comment>
    <comment ref="U29" authorId="0" shapeId="0" xr:uid="{00000000-0006-0000-0300-00007D000000}">
      <text>
        <r>
          <rPr>
            <sz val="10"/>
            <color rgb="FF000000"/>
            <rFont val="Arial"/>
          </rPr>
          <t>The Counselor, the Holy Spirit, leads us to walk in the light of truth and understanding.</t>
        </r>
      </text>
    </comment>
    <comment ref="N30" authorId="0" shapeId="0" xr:uid="{00000000-0006-0000-0300-00007E000000}">
      <text>
        <r>
          <rPr>
            <sz val="10"/>
            <color rgb="FF000000"/>
            <rFont val="Arial"/>
          </rPr>
          <t>God wins! Jesus' victory is your victory
Everyone on the championship team gets a trophy ring, even if they didn't play in the big game. The victory belongs to the team.
Jesus alone won the victory over death. He did all by himself. He was the only one who could battle Satan and Death and win. But he did it for us, and now he invites us to share in his victory. He wants us to bask with him in the glory of his big win. He wants us to share in the celebration of his victory forever.</t>
        </r>
      </text>
    </comment>
    <comment ref="O30" authorId="0" shapeId="0" xr:uid="{00000000-0006-0000-0300-00007F000000}">
      <text>
        <r>
          <rPr>
            <sz val="10"/>
            <color rgb="FF000000"/>
            <rFont val="Arial"/>
          </rPr>
          <t>Lord Jesus, King of glory, on this day you ascended far above the heavens and at God’s right hand you rule the nations. Leave us not alone, we pray, but grant us the Spirit of truth that at your command and by your power we may be your witnesses in all the world; for you live and reign with the Father and the Holy Spirit, one God, now and forever.</t>
        </r>
      </text>
    </comment>
    <comment ref="P30" authorId="0" shapeId="0" xr:uid="{00000000-0006-0000-0300-000080000000}">
      <text>
        <r>
          <rPr>
            <sz val="10"/>
            <color rgb="FF000000"/>
            <rFont val="Arial"/>
          </rPr>
          <t xml:space="preserve">Alleluia. Alleluia. Christ is risen! He is risen indeed! Alleluia. Surely I will be with you always, to the very end of the age. Alleluia. </t>
        </r>
      </text>
    </comment>
    <comment ref="S30" authorId="0" shapeId="0" xr:uid="{00000000-0006-0000-0300-000081000000}">
      <text>
        <r>
          <rPr>
            <sz val="10"/>
            <color rgb="FF000000"/>
            <rFont val="Arial"/>
          </rPr>
          <t>Paul's vision of the man from Macedonia led the apostles to preach the gospel in Europe.</t>
        </r>
      </text>
    </comment>
    <comment ref="T30" authorId="0" shapeId="0" xr:uid="{00000000-0006-0000-0300-000082000000}">
      <text>
        <r>
          <rPr>
            <sz val="10"/>
            <color rgb="FF000000"/>
            <rFont val="Arial"/>
          </rPr>
          <t>Jesus is coming soon to take his people to share in his victory.</t>
        </r>
      </text>
    </comment>
    <comment ref="U30" authorId="0" shapeId="0" xr:uid="{00000000-0006-0000-0300-000083000000}">
      <text>
        <r>
          <rPr>
            <sz val="10"/>
            <color rgb="FF000000"/>
            <rFont val="Arial"/>
          </rPr>
          <t>Jesus wants his believers to share in the glory he had with the Father before the beginning of the world.</t>
        </r>
      </text>
    </comment>
    <comment ref="N31" authorId="0" shapeId="0" xr:uid="{00000000-0006-0000-0300-000084000000}">
      <text>
        <r>
          <rPr>
            <sz val="10"/>
            <color rgb="FF000000"/>
            <rFont val="Arial"/>
          </rPr>
          <t>Filled with the Spirit: Proclaim the truth
The Festival of Pentecost is sometimes called the birthday of the Christian Church. On this day God poured out his Holy Spirit upon the apostles, and they preached and taught the good news of Jesus to thousands of people.
Nearly two thousand years later, the Holy Spirit continues to do his work. Through the church the good news of forgiveness in Jesus is still proclaimed to a world that is lost in confusion and subject to death. We are Spirit-filled Christians who serve as Jesus' ambassadors to our world.</t>
        </r>
      </text>
    </comment>
    <comment ref="O31" authorId="0" shapeId="0" xr:uid="{00000000-0006-0000-0300-000085000000}">
      <text>
        <r>
          <rPr>
            <sz val="10"/>
            <color rgb="FF000000"/>
            <rFont val="Arial"/>
          </rPr>
          <t>Holy Spirit, God and Lord, come to us this joyful day with your sevenfold gift of grace. Rekindle in our hearts the holy fire of your love that in a true and living faith we may tell abroad the glory of our Savior, Jesus Christ, who lives and reigns with you and the Father, one God, now and forever.</t>
        </r>
      </text>
    </comment>
    <comment ref="P31" authorId="0" shapeId="0" xr:uid="{00000000-0006-0000-0300-000086000000}">
      <text>
        <r>
          <rPr>
            <sz val="10"/>
            <color rgb="FF000000"/>
            <rFont val="Arial"/>
          </rPr>
          <t xml:space="preserve">Alleluia. Come, Holy Spirit, fill the hearts of your faithful people, and kindle in them the fire of your love. Alleluia. </t>
        </r>
      </text>
    </comment>
    <comment ref="S31" authorId="0" shapeId="0" xr:uid="{00000000-0006-0000-0300-000087000000}">
      <text>
        <r>
          <rPr>
            <sz val="10"/>
            <color rgb="FF000000"/>
            <rFont val="Arial"/>
          </rPr>
          <t>At the tower of Babel God confused the languages of mankind. Thousands of years later we still see the barriers created by language.</t>
        </r>
      </text>
    </comment>
    <comment ref="T31" authorId="0" shapeId="0" xr:uid="{00000000-0006-0000-0300-000088000000}">
      <text>
        <r>
          <rPr>
            <sz val="10"/>
            <color rgb="FF000000"/>
            <rFont val="Arial"/>
          </rPr>
          <t>On Pentecost the language barriers were removed, as the apostles preached the gospel in many languages.</t>
        </r>
      </text>
    </comment>
    <comment ref="U31" authorId="0" shapeId="0" xr:uid="{00000000-0006-0000-0300-000089000000}">
      <text>
        <r>
          <rPr>
            <sz val="10"/>
            <color rgb="FF000000"/>
            <rFont val="Arial"/>
          </rPr>
          <t>Jesus promises to send the Comforter, the Holy Spirit, to lead his disciples in the way of truth.</t>
        </r>
      </text>
    </comment>
    <comment ref="N32" authorId="0" shapeId="0" xr:uid="{00000000-0006-0000-0300-00008A000000}">
      <text>
        <r>
          <rPr>
            <sz val="10"/>
            <color rgb="FF000000"/>
            <rFont val="Arial"/>
          </rPr>
          <t>Filled with the Spirit: We know and love God
Many people are looking for truth. Some have given up looking and instead say that the truth cannot be known or found. For them, everything is an opinion, concepts have no meaning, and our very existence deteriorates into nihilism, cynicism, and anarchy. How sad!
God reveals himself to us, so that he can be known. He tells us who he is, so that we can know him, love him, and worship him. He tells us that the is three persons in one God--a sublime truth that transcends our reason and understanding. Most importantly, he tells us that he loves us and has saved us from our sins. We will be with him forever in heaven. As Spirit-filled Christians, we know the truth!</t>
        </r>
      </text>
    </comment>
    <comment ref="O32" authorId="0" shapeId="0" xr:uid="{00000000-0006-0000-0300-00008B000000}">
      <text>
        <r>
          <rPr>
            <sz val="10"/>
            <color rgb="FF000000"/>
            <rFont val="Arial"/>
          </rPr>
          <t xml:space="preserve">Almighty God and Father, dwelling in majesty and mystery, filling and renewing all creation by your eternal Spirit, and manifesting your saving grace through our Lord Jesus Christ: in mercy cleanse our hearts and lips that, free from doubt and fear, we may ever worship you, one true immortal God, with your Son and the Holy Spirit, living and reigning, now and forever.
</t>
        </r>
      </text>
    </comment>
    <comment ref="P32" authorId="0" shapeId="0" xr:uid="{00000000-0006-0000-0300-00008C000000}">
      <text>
        <r>
          <rPr>
            <sz val="10"/>
            <color rgb="FF000000"/>
            <rFont val="Arial"/>
          </rPr>
          <t xml:space="preserve">Alleluia. Be faithful even to the point of death, and I will give you the crown of life. Alleluia. </t>
        </r>
      </text>
    </comment>
    <comment ref="S32" authorId="0" shapeId="0" xr:uid="{00000000-0006-0000-0300-00008D000000}">
      <text>
        <r>
          <rPr>
            <sz val="10"/>
            <color rgb="FF000000"/>
            <rFont val="Arial"/>
          </rPr>
          <t>The Aaronic blessing placed the Name of the Lord upon his chosen people.</t>
        </r>
      </text>
    </comment>
    <comment ref="T32" authorId="0" shapeId="0" xr:uid="{00000000-0006-0000-0300-00008E000000}">
      <text>
        <r>
          <rPr>
            <sz val="10"/>
            <color rgb="FF000000"/>
            <rFont val="Arial"/>
          </rPr>
          <t>We have peace with God through our Lord Jesus Christ.</t>
        </r>
      </text>
    </comment>
    <comment ref="U32" authorId="0" shapeId="0" xr:uid="{00000000-0006-0000-0300-00008F000000}">
      <text>
        <r>
          <rPr>
            <sz val="10"/>
            <color rgb="FF000000"/>
            <rFont val="Arial"/>
          </rPr>
          <t>The Father, the Son and the Holy Spirit are one God, who testifies to the truth.</t>
        </r>
      </text>
    </comment>
    <comment ref="N34" authorId="0" shapeId="0" xr:uid="{00000000-0006-0000-0300-000090000000}">
      <text>
        <r>
          <rPr>
            <sz val="10"/>
            <color rgb="FF000000"/>
            <rFont val="Arial"/>
          </rPr>
          <t>Filled with the Spirit: Our faith rests on a solid foundation
Everyone today talks about having "faith." People say, "You just have to have faith!" or "Just believe!" But faith in itself is worthless. Having faith for faith's sake accomplishes nothing. The value of faith is in the object of faith. What do you have faith in?
As Spirit-filled Christians, we have been given faith in Jesus. We trust Jesus. We rely upon Jesus. His words, his promises, his actions are trustworthy. They are the anchor for our soul. Whoever trusts in him will never be put to shame.</t>
        </r>
      </text>
    </comment>
    <comment ref="O34" authorId="0" shapeId="0" xr:uid="{00000000-0006-0000-0300-000091000000}">
      <text>
        <r>
          <rPr>
            <sz val="10"/>
            <color rgb="FF000000"/>
            <rFont val="Arial"/>
          </rPr>
          <t>O God, you rule over all things in wisdom and kindness. Take away everything that may be harmful and give us whatever is good; through your Son, Jesus Christ our Lord, who lives and reigns with you and the Holy Spirit, one God, now and forever.</t>
        </r>
      </text>
    </comment>
    <comment ref="P34" authorId="0" shapeId="0" xr:uid="{00000000-0006-0000-0300-000092000000}">
      <text>
        <r>
          <rPr>
            <sz val="10"/>
            <color rgb="FF000000"/>
            <rFont val="Arial"/>
          </rPr>
          <t xml:space="preserve">Alleluia. Your word is a lamp to my feet and light for my path. Alleluia. </t>
        </r>
      </text>
    </comment>
    <comment ref="S34" authorId="0" shapeId="0" xr:uid="{00000000-0006-0000-0300-000093000000}">
      <text>
        <r>
          <rPr>
            <sz val="10"/>
            <color rgb="FF000000"/>
            <rFont val="Arial"/>
          </rPr>
          <t>Solomon asks for the living God to be present at the dedication of the temple.</t>
        </r>
      </text>
    </comment>
    <comment ref="T34" authorId="0" shapeId="0" xr:uid="{00000000-0006-0000-0300-000094000000}">
      <text>
        <r>
          <rPr>
            <sz val="10"/>
            <color rgb="FF000000"/>
            <rFont val="Arial"/>
          </rPr>
          <t>Apart from the good news of Christ crucified and raised from the dead, there is no other message that can save us.</t>
        </r>
      </text>
    </comment>
    <comment ref="U34" authorId="0" shapeId="0" xr:uid="{00000000-0006-0000-0300-000095000000}">
      <text>
        <r>
          <rPr>
            <sz val="10"/>
            <color rgb="FF000000"/>
            <rFont val="Arial"/>
          </rPr>
          <t>A centurion learned that confident faith in Jesus is never misplaced.</t>
        </r>
      </text>
    </comment>
    <comment ref="N35" authorId="0" shapeId="0" xr:uid="{00000000-0006-0000-0300-000096000000}">
      <text>
        <r>
          <rPr>
            <sz val="10"/>
            <color rgb="FF000000"/>
            <rFont val="Arial"/>
          </rPr>
          <t xml:space="preserve">Filled with the Spirit: Jesus is our first love
In this first of our seven-week series on the seven churches in Revelation, we learn from Jesus' words to the church at Ephesus. Ephesus was a prominent center of Christianity in the first century. The Apostle Paul spent three years preaching there, and the Apostle John finished out his ministry there. But the church at Ephesus had lost its zeal and forsaken its first love. Jesus urges the Ephesian Christians to repent and refocus on what is truly important.
Many things clamor for our attention today. We can become immersed in worldly affairs. We can become preoccupied with our daily routines. We can lose our passion and our zeal for the things of God. 
May the Lord who fills us with his Spirit always make Jesus our first love!
</t>
        </r>
      </text>
    </comment>
    <comment ref="O35" authorId="0" shapeId="0" xr:uid="{00000000-0006-0000-0300-000097000000}">
      <text>
        <r>
          <rPr>
            <sz val="10"/>
            <color rgb="FF000000"/>
            <rFont val="Arial"/>
          </rPr>
          <t>O God, the strength of all who trust in you, mercifully hear our prayers. Be gracious to us in our weakness and give us strength to keep your commandments in all we say and do; through Jesus Christ, your Son, our Lord, who lives and reigns with you and the Holy Spirit, one God, now and forever.</t>
        </r>
      </text>
    </comment>
    <comment ref="S35" authorId="0" shapeId="0" xr:uid="{00000000-0006-0000-0300-000098000000}">
      <text>
        <r>
          <rPr>
            <sz val="10"/>
            <color rgb="FF000000"/>
            <rFont val="Arial"/>
          </rPr>
          <t>Elijah reveals the Lord's power and love as he raises a boy from the dead.</t>
        </r>
      </text>
    </comment>
    <comment ref="T35" authorId="0" shapeId="0" xr:uid="{00000000-0006-0000-0300-000099000000}">
      <text>
        <r>
          <rPr>
            <sz val="10"/>
            <color rgb="FF000000"/>
            <rFont val="Arial"/>
          </rPr>
          <t>Paul received his gospel from Christ alone.</t>
        </r>
      </text>
    </comment>
    <comment ref="U35" authorId="0" shapeId="0" xr:uid="{00000000-0006-0000-0300-00009A000000}">
      <text>
        <r>
          <rPr>
            <sz val="10"/>
            <color rgb="FF000000"/>
            <rFont val="Arial"/>
          </rPr>
          <t>Jesus shows his power over death by raising to life the son of a widow in Nain.</t>
        </r>
      </text>
    </comment>
    <comment ref="N36" authorId="0" shapeId="0" xr:uid="{00000000-0006-0000-0300-00009B000000}">
      <text>
        <r>
          <rPr>
            <sz val="10"/>
            <color rgb="FF000000"/>
            <rFont val="Arial"/>
          </rPr>
          <t>Filled with the Spirit: Don't be afraid!
Our series on the seven churches in Revelation continues today with a study of Jesus' letter to the church in Smyrna.
The Christians in Smyrna were facing persecution, and they were suffering for their faith. They might have been tempted to turn away from Christianity and walk an easier path, but Jesus urges them to stand firm. They should not be afraid of what they might suffer. Jesus promises them, "Be faithful, even to the point of death, and I will give you the crown of life."
May the Lord who fills us with his Spirit give us courage and boldness to stand up for him and remain faithful, even if it means hardship and persecution!</t>
        </r>
      </text>
    </comment>
    <comment ref="O36" authorId="0" shapeId="0" xr:uid="{00000000-0006-0000-0300-00009C000000}">
      <text>
        <r>
          <rPr>
            <sz val="10"/>
            <color rgb="FF000000"/>
            <rFont val="Arial"/>
          </rPr>
          <t xml:space="preserve">O God, protector of all the faithful, you alone make strong; you alone make holy. Show us your mercy and forgive our sins day by day. Guide us through our earthly lives that we do not lose the things you have prepared for us in heaven; through Jesus Christ our Lord, who lives and reigns with you and the Holy Spirit, one God, now and forever.
</t>
        </r>
      </text>
    </comment>
    <comment ref="S36" authorId="0" shapeId="0" xr:uid="{00000000-0006-0000-0300-00009D000000}">
      <text>
        <r>
          <rPr>
            <sz val="10"/>
            <color rgb="FF000000"/>
            <rFont val="Arial"/>
          </rPr>
          <t>David's sins of adultery and murder were great. When he confessed he found that God's love and forgiveness are even greater.</t>
        </r>
      </text>
    </comment>
    <comment ref="T36" authorId="0" shapeId="0" xr:uid="{00000000-0006-0000-0300-00009E000000}">
      <text>
        <r>
          <rPr>
            <sz val="10"/>
            <color rgb="FF000000"/>
            <rFont val="Arial"/>
          </rPr>
          <t>Paul reminded Peter that we cannot be saved by our own works but only by the grace of our Lord Jesus.</t>
        </r>
      </text>
    </comment>
    <comment ref="U36" authorId="0" shapeId="0" xr:uid="{00000000-0006-0000-0300-00009F000000}">
      <text>
        <r>
          <rPr>
            <sz val="10"/>
            <color rgb="FF000000"/>
            <rFont val="Arial"/>
          </rPr>
          <t>We owe a great debt of love to Jesus, because we have been greatly forgiven.</t>
        </r>
      </text>
    </comment>
    <comment ref="N37" authorId="0" shapeId="0" xr:uid="{00000000-0006-0000-0300-0000A0000000}">
      <text>
        <r>
          <rPr>
            <sz val="10"/>
            <color rgb="FF000000"/>
            <rFont val="Arial"/>
          </rPr>
          <t>Filled with the Spirit: Obedience in the midst of darkness
Our series on the seven churches in Revelation continues today with a study of Jesus' letter to the church in Pergamum.
The Christians in Pergamum were surrounded by temptations to sin. Their city was a hotbed of pagan practices and the sinful seductions that went along with them. Some of the Christians were being drawn away from the light of Jesus and into the darkness of disobedience. Jesus urges them to repent of their sins, to stay away from immoral behavior, and to remain strong in their faith.
May the Lord fill us with his Spirit, so that we not only hear his Word but obey it in the midst of the darkness that surrounds us!</t>
        </r>
      </text>
    </comment>
    <comment ref="O37" authorId="0" shapeId="0" xr:uid="{00000000-0006-0000-0300-0000A1000000}">
      <text>
        <r>
          <rPr>
            <sz val="10"/>
            <color rgb="FF000000"/>
            <rFont val="Arial"/>
          </rPr>
          <t>O Lord, our God, govern the nations on earth and direct the affairs of this world so that your Church may worship you in peace and joy; through your Son, Jesus Christ our Lord, who lives and reigns with you and the Holy Spirit, one God, now and forever.</t>
        </r>
      </text>
    </comment>
    <comment ref="S37" authorId="0" shapeId="0" xr:uid="{00000000-0006-0000-0300-0000A2000000}">
      <text>
        <r>
          <rPr>
            <sz val="10"/>
            <color rgb="FF000000"/>
            <rFont val="Arial"/>
          </rPr>
          <t>We are sheep of the Lord's pasture, and we follow our Good Shepherd.</t>
        </r>
      </text>
    </comment>
    <comment ref="T37" authorId="0" shapeId="0" xr:uid="{00000000-0006-0000-0300-0000A3000000}">
      <text>
        <r>
          <rPr>
            <sz val="10"/>
            <color rgb="FF000000"/>
            <rFont val="Arial"/>
          </rPr>
          <t>Baptized into Christ we are clothed with Christ.</t>
        </r>
      </text>
    </comment>
    <comment ref="U37" authorId="0" shapeId="0" xr:uid="{00000000-0006-0000-0300-0000A4000000}">
      <text>
        <r>
          <rPr>
            <sz val="10"/>
            <color rgb="FF000000"/>
            <rFont val="Arial"/>
          </rPr>
          <t>Jesus came to suffer and die. We who follow him expect that we will endure persecution in this life.</t>
        </r>
      </text>
    </comment>
    <comment ref="N38" authorId="0" shapeId="0" xr:uid="{00000000-0006-0000-0300-0000A5000000}">
      <text>
        <r>
          <rPr>
            <sz val="10"/>
            <color rgb="FF000000"/>
            <rFont val="Arial"/>
          </rPr>
          <t>Filled with the Spirit: Hold onto the truth
Our series on the seven churches in Revelation continues today with a study of Jesus' letter to the church in Thyatira.
There was false teaching in Thyatira. One prophetess was leading people away from the truth of Christ and into ungodly behavior. She was promising the people "secret knowledge" and was deceiving and leading many astray.
Jesus urges the Christians in Thyatira to hold onto the truth, to cling to Christ and his teaching alone, and not to be mislead by the lies of Satan.
We have been given a precious gift in the truth of God's Word. May the Spirit always fill us with a love for his truth and a desire to hold onto it firmly!</t>
        </r>
      </text>
    </comment>
    <comment ref="O38" authorId="0" shapeId="0" xr:uid="{00000000-0006-0000-0300-0000A6000000}">
      <text>
        <r>
          <rPr>
            <sz val="10"/>
            <color rgb="FF000000"/>
            <rFont val="Arial"/>
          </rPr>
          <t>O God, you have prepared joys beyond understanding for those who love you. Pour into our hearts such love for you that, loving you above all things, we may obtain your promises, which exceed all that we can desire; through your Son, Jesus Christ our Lord, who lives and reigns with you and the Holy Spirit, one God, now and forever.</t>
        </r>
      </text>
    </comment>
    <comment ref="P38" authorId="0" shapeId="0" xr:uid="{00000000-0006-0000-0300-0000A7000000}">
      <text>
        <r>
          <rPr>
            <sz val="10"/>
            <color rgb="FF000000"/>
            <rFont val="Arial"/>
          </rPr>
          <t xml:space="preserve">Alleluia. If anyone would come after me, he must deny himself and take up his cross and follow me. Alleluia. </t>
        </r>
      </text>
    </comment>
    <comment ref="S38" authorId="0" shapeId="0" xr:uid="{00000000-0006-0000-0300-0000A8000000}">
      <text>
        <r>
          <rPr>
            <sz val="10"/>
            <color rgb="FF000000"/>
            <rFont val="Arial"/>
          </rPr>
          <t>Elijah was despondent because of persecution. The Lord showed him that he had not been defeated.</t>
        </r>
      </text>
    </comment>
    <comment ref="T38" authorId="0" shapeId="0" xr:uid="{00000000-0006-0000-0300-0000A9000000}">
      <text>
        <r>
          <rPr>
            <sz val="10"/>
            <color rgb="FF000000"/>
            <rFont val="Arial"/>
          </rPr>
          <t>Freedom is not a license for sin. Freedom and forgiveness are a recipe for powerfully producing the good fruit of the Spirit.</t>
        </r>
      </text>
    </comment>
    <comment ref="U38" authorId="0" shapeId="0" xr:uid="{00000000-0006-0000-0300-0000AA000000}">
      <text>
        <r>
          <rPr>
            <sz val="10"/>
            <color rgb="FF000000"/>
            <rFont val="Arial"/>
          </rPr>
          <t>Jesus is rejected at a Samaritan town, and he reminds his disciples that the cost of following him is high and the path is difficult.</t>
        </r>
      </text>
    </comment>
    <comment ref="N39" authorId="0" shapeId="0" xr:uid="{00000000-0006-0000-0300-0000AB000000}">
      <text>
        <r>
          <rPr>
            <sz val="10"/>
            <color rgb="FF000000"/>
            <rFont val="Arial"/>
          </rPr>
          <t>Filled with the Spirit: Alive with Christ
Our series on the seven churches in Revelation continues today with a study of Jesus' letter to the church in Sardis.
The Christians in Sardis were like spiritual zombies. They looked alive, but they were really dead. They paid lip service to the ways of God, but their evil actions put them on a path away from Christ. in his letter Jesus commends the few faithful Christians who still led pure lives devoted to him, and he urges those who are straying to repent and return to him.
May the Spirit fill us abundantly today, so that we may always be found alive in Christ!</t>
        </r>
      </text>
    </comment>
    <comment ref="O39" authorId="0" shapeId="0" xr:uid="{00000000-0006-0000-0300-0000AC000000}">
      <text>
        <r>
          <rPr>
            <sz val="10"/>
            <color rgb="FF000000"/>
            <rFont val="Arial"/>
          </rPr>
          <t>God of all power and might, you are the giver of all that is good. Help us love you with all our heart, strengthen us in true faith, provide us with all we need, and keep us safe in your care; through Jesus Christ, your Son, our Lord, who lives and reigns with you and the Holy Spirit, one God, now and forever.</t>
        </r>
      </text>
    </comment>
    <comment ref="P39" authorId="0" shapeId="0" xr:uid="{00000000-0006-0000-0300-0000AD000000}">
      <text>
        <r>
          <rPr>
            <sz val="10"/>
            <color rgb="FF000000"/>
            <rFont val="Arial"/>
          </rPr>
          <t xml:space="preserve">Alleluia. Happy are they who hear the Word, hold it fast in an honest and good heart, and bring forth fruit with patience. Alleluia. </t>
        </r>
      </text>
    </comment>
    <comment ref="S39" authorId="0" shapeId="0" xr:uid="{00000000-0006-0000-0300-0000AE000000}">
      <text>
        <r>
          <rPr>
            <sz val="10"/>
            <color rgb="FF000000"/>
            <rFont val="Arial"/>
          </rPr>
          <t>The Lord will comfort the people of Judah and Jerusalem.</t>
        </r>
      </text>
    </comment>
    <comment ref="T39" authorId="0" shapeId="0" xr:uid="{00000000-0006-0000-0300-0000AF000000}">
      <text>
        <r>
          <rPr>
            <sz val="10"/>
            <color rgb="FF000000"/>
            <rFont val="Arial"/>
          </rPr>
          <t>Do not become weary of doing good to others.</t>
        </r>
      </text>
    </comment>
    <comment ref="U39" authorId="0" shapeId="0" xr:uid="{00000000-0006-0000-0300-0000B0000000}">
      <text>
        <r>
          <rPr>
            <sz val="10"/>
            <color rgb="FF000000"/>
            <rFont val="Arial"/>
          </rPr>
          <t>Jesus sends out the seventy-two with instructions to share the good news with Israel.</t>
        </r>
      </text>
    </comment>
    <comment ref="N40" authorId="0" shapeId="0" xr:uid="{00000000-0006-0000-0300-0000B1000000}">
      <text>
        <r>
          <rPr>
            <sz val="10"/>
            <color rgb="FF000000"/>
            <rFont val="Arial"/>
          </rPr>
          <t>Filled with the Spirit: Tell the good news!
Our series on the seven churches in Revelation continues today with a study of Jesus' letter to the church in Philadelphia.
The name of this city means "brotherly love." That's what the Christians in Philadelphia had the opportunity to show others, as they told people the good news of Jesus' death and resurrection. Jesus promises that the words they shared would have a powerful effect. Many who heard the good news would be touched by it and would acknowledge the power of the Lord.
May we seek every opportunity to share the good news of Jesus wherever we find an open door to do so!</t>
        </r>
      </text>
    </comment>
    <comment ref="O40" authorId="0" shapeId="0" xr:uid="{00000000-0006-0000-0300-0000B2000000}">
      <text>
        <r>
          <rPr>
            <sz val="10"/>
            <color rgb="FF000000"/>
            <rFont val="Arial"/>
          </rPr>
          <t>Almighty God, we thank you for planting in us the seed of your Word. By your Holy Spirit help us to receive it with joy and to bring forth fruits in faith and hope and love; through your Son, Jesus Christ our Lord, who lives and reigns with you and the Holy Spirit, one God, now and forever.</t>
        </r>
      </text>
    </comment>
    <comment ref="P40" authorId="0" shapeId="0" xr:uid="{00000000-0006-0000-0300-0000B3000000}">
      <text>
        <r>
          <rPr>
            <sz val="10"/>
            <color rgb="FF000000"/>
            <rFont val="Arial"/>
          </rPr>
          <t xml:space="preserve">Alleluia. The Word is very near you; it is in your mouth and in your heart so you may obey it. Alleluia. </t>
        </r>
      </text>
    </comment>
    <comment ref="S40" authorId="0" shapeId="0" xr:uid="{00000000-0006-0000-0300-0000B4000000}">
      <text>
        <r>
          <rPr>
            <sz val="10"/>
            <color rgb="FF000000"/>
            <rFont val="Arial"/>
          </rPr>
          <t>God reveals his Word to us, so that we may know the path of life.</t>
        </r>
      </text>
    </comment>
    <comment ref="T40" authorId="0" shapeId="0" xr:uid="{00000000-0006-0000-0300-0000B5000000}">
      <text>
        <r>
          <rPr>
            <sz val="10"/>
            <color rgb="FF000000"/>
            <rFont val="Arial"/>
          </rPr>
          <t>The Apostle Paul thanks the Lord for his fellow Christians in the city of Colossae, as he prays for them continually.</t>
        </r>
      </text>
    </comment>
    <comment ref="U40" authorId="0" shapeId="0" xr:uid="{00000000-0006-0000-0300-0000B6000000}">
      <text>
        <r>
          <rPr>
            <sz val="10"/>
            <color rgb="FF000000"/>
            <rFont val="Arial"/>
          </rPr>
          <t>The Good Samaritan pictures Jesus, who binds up our wounds and gives us his loving care and protection.</t>
        </r>
      </text>
    </comment>
    <comment ref="N41" authorId="0" shapeId="0" xr:uid="{00000000-0006-0000-0300-0000B7000000}">
      <text>
        <r>
          <rPr>
            <sz val="10"/>
            <color rgb="FF000000"/>
            <rFont val="Arial"/>
          </rPr>
          <t>Filled with the Spirit: On fire for Jesus
Our series on the seven churches in Revelation continues today with a study of Jesus' letter to the church in Laodicea.
The Christians in Laodicea were lukewarm. 
They weren't on fire for Jesus, but they hadn't completely cooled off, either. They had become complacent and ambivalent about their Savior. Jesus warns his church in Laodicea that being lukewarm is not acceptable, and if nothing changed they would be spit out of his mouth. They would lose the precious gift that they had esteemed so lightly.
May the Lord fill us with his Spirit in abundance, so that we always serve him eagerly with wholehearted devotion!</t>
        </r>
      </text>
    </comment>
    <comment ref="O41" authorId="0" shapeId="0" xr:uid="{00000000-0006-0000-0300-0000B8000000}">
      <text>
        <r>
          <rPr>
            <sz val="10"/>
            <color rgb="FF000000"/>
            <rFont val="Arial"/>
          </rPr>
          <t>Grant us, Lord, the spirit to think and do what is right that we, who cannot do anything that is good without you, may by your help be enabled to live according to your will; through Jesus Christ, your Son, our Lord, who lives and reigns with you and the Holy Spirit, one God, now and forever.</t>
        </r>
      </text>
    </comment>
    <comment ref="P41" authorId="0" shapeId="0" xr:uid="{00000000-0006-0000-0300-0000B9000000}">
      <text>
        <r>
          <rPr>
            <sz val="10"/>
            <color rgb="FF000000"/>
            <rFont val="Arial"/>
          </rPr>
          <t>Alleluia! My Word will not return to me empty but will accomplish what I desire and achieve the purpose for which I sent it. Alleluia!</t>
        </r>
      </text>
    </comment>
    <comment ref="S41" authorId="0" shapeId="0" xr:uid="{00000000-0006-0000-0300-0000BA000000}">
      <text>
        <r>
          <rPr>
            <sz val="10"/>
            <color rgb="FF000000"/>
            <rFont val="Arial"/>
          </rPr>
          <t>Abraham learns that God will give him a son.</t>
        </r>
      </text>
    </comment>
    <comment ref="T41" authorId="0" shapeId="0" xr:uid="{00000000-0006-0000-0300-0000BB000000}">
      <text>
        <r>
          <rPr>
            <sz val="10"/>
            <color rgb="FF000000"/>
            <rFont val="Arial"/>
          </rPr>
          <t>The Colossian believers had been turned away from empty paganism to a meaningful existence lived for Jesus.</t>
        </r>
      </text>
    </comment>
    <comment ref="U41" authorId="0" shapeId="0" xr:uid="{00000000-0006-0000-0300-0000BC000000}">
      <text>
        <r>
          <rPr>
            <sz val="10"/>
            <color rgb="FF000000"/>
            <rFont val="Arial"/>
          </rPr>
          <t>Only one thing in life truly matters. Mary found that nothing is more important than the Word of Jesus that brings eternal life.</t>
        </r>
      </text>
    </comment>
    <comment ref="N42" authorId="0" shapeId="0" xr:uid="{00000000-0006-0000-0300-0000BD000000}">
      <text>
        <r>
          <rPr>
            <sz val="10"/>
            <color rgb="FF000000"/>
            <rFont val="Arial"/>
          </rPr>
          <t>Filled with the Spirit: Pray with confidence!
What a privilege we have to be able to approach the Lord God, the Creator of the universe, as our dear heavenly Father and know that he hears our prayers! At one time we were disconnected from God, cut off and separated from him by our sins. In Jesus Christ, God has removed the barrier that separated us from him by forgiving our sins and nailing them to the cross. Now he has given us his Spirit, and the Holy Spirit invites us to pray boldly and confidently, as dear children approach their Father in heaven. We know that he hears us and welcomes us, for Jesus' sake!</t>
        </r>
      </text>
    </comment>
    <comment ref="O42" authorId="0" shapeId="0" xr:uid="{00000000-0006-0000-0300-0000BE000000}">
      <text>
        <r>
          <rPr>
            <sz val="10"/>
            <color rgb="FF000000"/>
            <rFont val="Arial"/>
          </rPr>
          <t>O Lord, your ears are always open to the prayers of your humble servants, who come to you in Jesus' name. Teach us always to ask according to your will that we may never fail to obtain the blessings you have promised; through Jesus Christ, your Son, our Lord, who lives and reigns with you and the Holy Spirit, one God, now and forever.</t>
        </r>
      </text>
    </comment>
    <comment ref="P42" authorId="0" shapeId="0" xr:uid="{00000000-0006-0000-0300-0000BF000000}">
      <text>
        <r>
          <rPr>
            <sz val="10"/>
            <color rgb="FF000000"/>
            <rFont val="Arial"/>
          </rPr>
          <t>Alleluia! Lord, to whom shall we go? You have the words of eternal life. Alleluia!</t>
        </r>
      </text>
    </comment>
    <comment ref="Q42" authorId="0" shapeId="0" xr:uid="{00000000-0006-0000-0300-0000C0000000}">
      <text>
        <r>
          <rPr>
            <sz val="10"/>
            <color rgb="FF000000"/>
            <rFont val="Arial"/>
          </rPr>
          <t>In the Lord's Prayer Jesus teaches his disciples how to pray: boldly, confidently, and for things that God loves to give us.</t>
        </r>
      </text>
    </comment>
    <comment ref="R42" authorId="0" shapeId="0" xr:uid="{00000000-0006-0000-0300-0000C1000000}">
      <text>
        <r>
          <rPr>
            <sz val="10"/>
            <color rgb="FF000000"/>
            <rFont val="Arial"/>
          </rPr>
          <t xml:space="preserve">(JB notes: God wants to bless us! Ask according to what he wants to give us.
One lesson hard to learn is that our parents want the best for us. When they say "no" it's for our good. Parents want their children to ask.
What's the alternative to asking? One: trying to do it all ourselves. Not wanting to be dependent. "I can do it on my own."
Ever feel like God is holding out on you? Or you can't ask for something because you haven't deserved it? Or you have to meet some standard before you're worthy to present a request?
Sometimes a guilty conscience can impede our prayers. Solution is to release the guilt.
Jesus: You don't have because you don't ask.)
</t>
        </r>
      </text>
    </comment>
    <comment ref="S42" authorId="0" shapeId="0" xr:uid="{00000000-0006-0000-0300-0000C2000000}">
      <text>
        <r>
          <rPr>
            <sz val="10"/>
            <color rgb="FF000000"/>
            <rFont val="Arial"/>
          </rPr>
          <t>Abraham was bold to pray that God would rescue the righteous by sparing the wicked.</t>
        </r>
      </text>
    </comment>
    <comment ref="T42" authorId="0" shapeId="0" xr:uid="{00000000-0006-0000-0300-0000C3000000}">
      <text>
        <r>
          <rPr>
            <sz val="10"/>
            <color rgb="FF000000"/>
            <rFont val="Arial"/>
          </rPr>
          <t>With new and living hearts that trust Jesus, we are able to approach God confidently through Christ.</t>
        </r>
      </text>
    </comment>
    <comment ref="U42" authorId="0" shapeId="0" xr:uid="{00000000-0006-0000-0300-0000C4000000}">
      <text>
        <r>
          <rPr>
            <sz val="10"/>
            <color rgb="FF000000"/>
            <rFont val="Arial"/>
          </rPr>
          <t>In the Lord's Prayer Jesus teaches his disciples how to pray: boldly, confidently, and for things that God loves to give us.</t>
        </r>
      </text>
    </comment>
    <comment ref="N43" authorId="0" shapeId="0" xr:uid="{00000000-0006-0000-0300-0000C5000000}">
      <text>
        <r>
          <rPr>
            <sz val="10"/>
            <color rgb="FF000000"/>
            <rFont val="Arial"/>
          </rPr>
          <t>Filled with the Spirit: Free to live!
It is so easy to become slaves to things in this life. We can become slaves to our schedules, slaves to our passions, slaves to our wants and desires, slaves to our material things. These can become things that motivate us, drive us, and consume us. How unfortunate to be enslaved by such mundane, earthly things!
God has given us his Holy Spirit to set us free. In the freedom of his Spirit we are free to enjoy the blessings that God generously gives us without becoming enslaved or controlled by them. We can live our lives to the glory of God, in celebration of all of his blessings, and in service to others. This is the life we live with Jesus, as we share in him the victorious life that we have through his resurrection.</t>
        </r>
      </text>
    </comment>
    <comment ref="O43" authorId="0" shapeId="0" xr:uid="{00000000-0006-0000-0300-0000C6000000}">
      <text>
        <r>
          <rPr>
            <sz val="10"/>
            <color rgb="FF000000"/>
            <rFont val="Arial"/>
          </rPr>
          <t>O God, you reveal your mighty power chiefly in showing mercy and kindness. Grant us the full measure of your grace that we may obtain your promises and become partakers of your heavenly glory; through Jesus Christ, your Son, our Lord, who lives and reigns with you and the Holy Spirit, one God, now and forever.</t>
        </r>
      </text>
    </comment>
    <comment ref="P43" authorId="0" shapeId="0" xr:uid="{00000000-0006-0000-0300-0000C7000000}">
      <text>
        <r>
          <rPr>
            <sz val="10"/>
            <color rgb="FF000000"/>
            <rFont val="Arial"/>
          </rPr>
          <t>Alleluia! Jesus replied, "If anyone loves me, he will obey my teaching. My Father will love him, and we will come to him and make our home with him." Alleluia!</t>
        </r>
      </text>
    </comment>
    <comment ref="S43" authorId="0" shapeId="0" xr:uid="{00000000-0006-0000-0300-0000C8000000}">
      <text>
        <r>
          <rPr>
            <sz val="10"/>
            <color rgb="FF000000"/>
            <rFont val="Arial"/>
          </rPr>
          <t>Material things can be a blessing or a burden, depending on how we view them. What a delight to be free to recognize God's blessing in all he gives us for our enjoyment!</t>
        </r>
      </text>
    </comment>
    <comment ref="T43" authorId="0" shapeId="0" xr:uid="{00000000-0006-0000-0300-0000C9000000}">
      <text>
        <r>
          <rPr>
            <sz val="10"/>
            <color rgb="FF000000"/>
            <rFont val="Arial"/>
          </rPr>
          <t>We have been set free from slavery to sin and given freedom to serve God in purity and holiness.</t>
        </r>
      </text>
    </comment>
    <comment ref="U43" authorId="0" shapeId="0" xr:uid="{00000000-0006-0000-0300-0000CA000000}">
      <text>
        <r>
          <rPr>
            <sz val="10"/>
            <color rgb="FF000000"/>
            <rFont val="Arial"/>
          </rPr>
          <t>The rich man was a slave to his material wealth and foolishly poor toward God.</t>
        </r>
      </text>
    </comment>
    <comment ref="N44" authorId="0" shapeId="0" xr:uid="{00000000-0006-0000-0300-0000CB000000}">
      <text>
        <r>
          <rPr>
            <sz val="10"/>
            <color rgb="FF000000"/>
            <rFont val="Arial"/>
          </rPr>
          <t>Filled with the Spirit: Trust God's promises
When God makes a promise, it is as good as done. God cannot lie, and he cannot go back on what he pledges. He will always be faithful. Faith (or trust) relies on God's Word and promises, and holds onto the sure confidence that everything God promises he will deliver.
There are many things we cannot see. We cannot look into the future to see what tomorrow will bring. But God's Spirit gives us the confidence that he will give us everything he promises in his Word. The Spirit is the down payment, guaranteeing what is to come.</t>
        </r>
      </text>
    </comment>
    <comment ref="O44" authorId="0" shapeId="0" xr:uid="{00000000-0006-0000-0300-0000CC000000}">
      <text>
        <r>
          <rPr>
            <sz val="10"/>
            <color rgb="FF000000"/>
            <rFont val="Arial"/>
          </rPr>
          <t>Almighty and everlasting God, you are always more ready to hear than we to pray, and to give more than we either desire or deserve. Pour upon us the abundance of your mercy, forgiving us those things of which our conscience is afraid, and giving us those good things for which we are not worthy to ask, except through the merits and mediation of your Son, Jesus Christ our Lord, who lives and reigns with you and the Holy Spirit, one God, now and forever.</t>
        </r>
      </text>
    </comment>
    <comment ref="P44" authorId="0" shapeId="0" xr:uid="{00000000-0006-0000-0300-0000CD000000}">
      <text>
        <r>
          <rPr>
            <sz val="10"/>
            <color rgb="FF000000"/>
            <rFont val="Arial"/>
          </rPr>
          <t>Alleluia! Now faith is being sure of what we hope for and certain of what we do not see. Alleluia! (Hebrews 11:1)</t>
        </r>
      </text>
    </comment>
    <comment ref="S44" authorId="0" shapeId="0" xr:uid="{00000000-0006-0000-0300-0000CE000000}">
      <text>
        <r>
          <rPr>
            <sz val="10"/>
            <color rgb="FF000000"/>
            <rFont val="Arial"/>
          </rPr>
          <t>Abram trusted God's promise to give him an heir and descendants as numerous as the stars in the sky.</t>
        </r>
      </text>
    </comment>
    <comment ref="T44" authorId="0" shapeId="0" xr:uid="{00000000-0006-0000-0300-0000CF000000}">
      <text>
        <r>
          <rPr>
            <sz val="10"/>
            <color rgb="FF000000"/>
            <rFont val="Arial"/>
          </rPr>
          <t>Faith is being sure of what we hope for and certain of what we do not see. Faith rests in God's promises.</t>
        </r>
      </text>
    </comment>
    <comment ref="U44" authorId="0" shapeId="0" xr:uid="{00000000-0006-0000-0300-0000D0000000}">
      <text>
        <r>
          <rPr>
            <sz val="10"/>
            <color rgb="FF000000"/>
            <rFont val="Arial"/>
          </rPr>
          <t>Jesus promises to return to take his people home to heaven, and he will deliver  on that promise at just the right time.</t>
        </r>
      </text>
    </comment>
    <comment ref="N45" authorId="0" shapeId="0" xr:uid="{00000000-0006-0000-0300-0000D1000000}">
      <text>
        <r>
          <rPr>
            <sz val="10"/>
            <color rgb="FF000000"/>
            <rFont val="Arial"/>
          </rPr>
          <t>Filled with the Spirit: Devotion and discipline
It's not easy to be a Christian. Jesus never said it would be easy. Being a friend of God means we become enemies of the world. We have been called away from the broad, easy path that leads to destruction to walk a hard, steep, rocky and narrow path that leads to life through Jesus. Our walk calls for single-minded devotion and constant discipline.
God himself gives us the strength to walk this challenging path. Filled with his Spirit we gladly take up his cross of discipleship and follow him!</t>
        </r>
      </text>
    </comment>
    <comment ref="O45" authorId="0" shapeId="0" xr:uid="{00000000-0006-0000-0300-0000D2000000}">
      <text>
        <r>
          <rPr>
            <sz val="10"/>
            <color rgb="FF000000"/>
            <rFont val="Arial"/>
          </rPr>
          <t>Almighty and merciful God, it is only by your gift of grace that we come into your presence and offer true and faithful service. Grant that our worship on earth may always be pleasing to you, and in the life to come give us the fulfillment of what you have promised; through Jesus Christ, your Son, our Lord, who lives and reigns with you and the Holy Spirit, one God, now and forever.</t>
        </r>
      </text>
    </comment>
    <comment ref="P45" authorId="0" shapeId="0" xr:uid="{00000000-0006-0000-0300-0000D3000000}">
      <text>
        <r>
          <rPr>
            <sz val="10"/>
            <color rgb="FF000000"/>
            <rFont val="Arial"/>
          </rPr>
          <t>Alleluia! The Word of God is living and active, sharper than any two-edged sword, discerning the thoughts and intentions of the heart. Alleluia!</t>
        </r>
      </text>
    </comment>
    <comment ref="S45" authorId="0" shapeId="0" xr:uid="{00000000-0006-0000-0300-0000D4000000}">
      <text>
        <r>
          <rPr>
            <sz val="10"/>
            <color rgb="FF000000"/>
            <rFont val="Arial"/>
          </rPr>
          <t>It's easy to tell people what they want to hear. It takes discipline and devotion to speak God's truth in his name.</t>
        </r>
      </text>
    </comment>
    <comment ref="T45" authorId="0" shapeId="0" xr:uid="{00000000-0006-0000-0300-0000D5000000}">
      <text>
        <r>
          <rPr>
            <sz val="10"/>
            <color rgb="FF000000"/>
            <rFont val="Arial"/>
          </rPr>
          <t>When we keep our eyes fixed on Jesus in single-minded devotion, we can avoid the sin that entangles and run the race marked out for us.</t>
        </r>
      </text>
    </comment>
    <comment ref="U45" authorId="0" shapeId="0" xr:uid="{00000000-0006-0000-0300-0000D6000000}">
      <text>
        <r>
          <rPr>
            <sz val="10"/>
            <color rgb="FF000000"/>
            <rFont val="Arial"/>
          </rPr>
          <t>In the face of division and persecution, it takes devotion and discipline to walk with Jesus at his side.</t>
        </r>
      </text>
    </comment>
    <comment ref="N46" authorId="0" shapeId="0" xr:uid="{00000000-0006-0000-0300-0000D7000000}">
      <text>
        <r>
          <rPr>
            <sz val="10"/>
            <color rgb="FF000000"/>
            <rFont val="Arial"/>
          </rPr>
          <t>Filled with the Spirit: Victorious with Christ
We might not always realize how serious God is about our sins. We might trivialize our disobedience against God and regard our sin as if it's no big deal.
God doesn't look at sin that way. Removing sin required the suffering and death of his only-begotten Son. Through his resurrection, Jesus has won the victory--and what an awesome victory it is! It is the complete removal of all sin and guilt, and it is the free gift of eternal life through Jesus! We share in Jesus' victory by living victoriously now and forever.</t>
        </r>
      </text>
    </comment>
    <comment ref="O46" authorId="0" shapeId="0" xr:uid="{00000000-0006-0000-0300-0000D8000000}">
      <text>
        <r>
          <rPr>
            <sz val="10"/>
            <color rgb="FF000000"/>
            <rFont val="Arial"/>
          </rPr>
          <t>Almighty and everlasting God, give us an increase of faith, hope, and love; and, that we may obtain what you promise, make us love what you command; through Jesus Christ, your Son, our Lord, who lives and reigns with you and the Holy Spirit, one God, now and forever.</t>
        </r>
      </text>
    </comment>
    <comment ref="P46" authorId="0" shapeId="0" xr:uid="{00000000-0006-0000-0300-0000D9000000}">
      <text>
        <r>
          <rPr>
            <sz val="10"/>
            <color rgb="FF000000"/>
            <rFont val="Arial"/>
          </rPr>
          <t>Alleluia! Jesus Christ has destroyed death and brought life and immortality to light through the gospel. Alleluia!</t>
        </r>
      </text>
    </comment>
    <comment ref="R46" authorId="0" shapeId="0" xr:uid="{00000000-0006-0000-0300-0000DA000000}">
      <text>
        <r>
          <rPr>
            <sz val="10"/>
            <color rgb="FF000000"/>
            <rFont val="Arial"/>
          </rPr>
          <t>(JB notes: 
Engaged at the Grand Canyon. What a view!
Imagine view looking back on your life. Easy? Hard? Tumultuous? Wasted? Blessed?
It's a rough, rocky road that leads to eternal life, but at the end--what a view!
The view includes those who have rebelled [Is 66]. Victory over enemies. Victory FOR believers.)</t>
        </r>
      </text>
    </comment>
    <comment ref="S46" authorId="0" shapeId="0" xr:uid="{00000000-0006-0000-0300-0000DB000000}">
      <text>
        <r>
          <rPr>
            <sz val="10"/>
            <color rgb="FF000000"/>
            <rFont val="Arial"/>
          </rPr>
          <t>Those who worship the Lord share in his victory. Those who rebel against him suffer eternally.</t>
        </r>
      </text>
    </comment>
    <comment ref="T46" authorId="0" shapeId="0" xr:uid="{00000000-0006-0000-0300-0000DC000000}">
      <text>
        <r>
          <rPr>
            <sz val="10"/>
            <color rgb="FF000000"/>
            <rFont val="Arial"/>
          </rPr>
          <t>Jesus' eternal victory means that we have a more wonderful and more compelling reason to thank and praise, serve and obey him.</t>
        </r>
      </text>
    </comment>
    <comment ref="U46" authorId="0" shapeId="0" xr:uid="{00000000-0006-0000-0300-0000DD000000}">
      <text>
        <r>
          <rPr>
            <sz val="10"/>
            <color rgb="FF000000"/>
            <rFont val="Arial"/>
          </rPr>
          <t>Only one narrow door and one difficult path leads to heaven. At the end of that trail is eternal victory with Christ.</t>
        </r>
      </text>
    </comment>
    <comment ref="N47" authorId="0" shapeId="0" xr:uid="{00000000-0006-0000-0300-0000DE000000}">
      <text>
        <r>
          <rPr>
            <sz val="10"/>
            <color rgb="FF000000"/>
            <rFont val="Arial"/>
          </rPr>
          <t>Filled with the Spirit: Humble in spirit
God has done great and glorious things for us. He has showered us with many blessings. We will live forever with him in heaven, and we enjoy his favor while we're still on earth. All of this is by his undeserved grace, without any merit or worthiness whatsoever on our part.
For all of the goodness we have received, we have no reason to be proud in and of ourselves. Everything we have is a gift from God. We have earned and deserved none of it. God's Spirit gives us a spirit of humility, so that we see others as better than ourselves and serve our Lord and others in self-sacrificing humility.</t>
        </r>
      </text>
    </comment>
    <comment ref="O47" authorId="0" shapeId="0" xr:uid="{00000000-0006-0000-0300-0000DF000000}">
      <text>
        <r>
          <rPr>
            <sz val="10"/>
            <color rgb="FF000000"/>
            <rFont val="Arial"/>
          </rPr>
          <t>See service notes</t>
        </r>
      </text>
    </comment>
    <comment ref="P47" authorId="0" shapeId="0" xr:uid="{00000000-0006-0000-0300-0000E0000000}">
      <text>
        <r>
          <rPr>
            <sz val="10"/>
            <color rgb="FF000000"/>
            <rFont val="Arial"/>
          </rPr>
          <t>Alleluia! Your words became a joy to me, and the delight of my heart. Alleluia!</t>
        </r>
      </text>
    </comment>
    <comment ref="S47" authorId="0" shapeId="0" xr:uid="{00000000-0006-0000-0300-0000E1000000}">
      <text>
        <r>
          <rPr>
            <sz val="10"/>
            <color rgb="FF000000"/>
            <rFont val="Arial"/>
          </rPr>
          <t>It is better for others to give us honor than for us to brag and exalt ourselves.</t>
        </r>
      </text>
    </comment>
    <comment ref="T47" authorId="0" shapeId="0" xr:uid="{00000000-0006-0000-0300-0000E2000000}">
      <text>
        <r>
          <rPr>
            <sz val="10"/>
            <color rgb="FF000000"/>
            <rFont val="Arial"/>
          </rPr>
          <t>In humility we consider it a privilege to serve God and love our neighbor.</t>
        </r>
      </text>
    </comment>
    <comment ref="U47" authorId="0" shapeId="0" xr:uid="{00000000-0006-0000-0300-0000E3000000}">
      <text>
        <r>
          <rPr>
            <sz val="10"/>
            <color rgb="FF000000"/>
            <rFont val="Arial"/>
          </rPr>
          <t>We should not seek recognition and reward for our deeds of kindness. In humility we are to regard others as better than ourselves.</t>
        </r>
      </text>
    </comment>
    <comment ref="N48" authorId="0" shapeId="0" xr:uid="{00000000-0006-0000-0300-0000E4000000}">
      <text>
        <r>
          <rPr>
            <sz val="10"/>
            <color rgb="FF000000"/>
            <rFont val="Arial"/>
          </rPr>
          <t>Filled with the Spirit: Rich in wisdom
It has been said that the more we know the more we realize how little we know. What's true with knowledge is true in greater measure with wisdom.
The fear of the Lord is the beginning of wisdom. Being truly wise means always learning, always willing to be corrected and admonished, always willing to be instructed.  Only the Holy Spirit can give us this wisdom, a wisdom born of humble repentance and confident trust in forgiveness.</t>
        </r>
      </text>
    </comment>
    <comment ref="O48" authorId="0" shapeId="0" xr:uid="{00000000-0006-0000-0300-0000E5000000}">
      <text>
        <r>
          <rPr>
            <sz val="10"/>
            <color rgb="FF000000"/>
            <rFont val="Arial"/>
          </rPr>
          <t>Let your continual mercy, O Lord, cleanse and defend your Church; and because it cannot continue in safety without your help, protect and govern it always by your goodness; for you live and reign with the Father and the Holy Spirit, one God, now and forever.</t>
        </r>
      </text>
    </comment>
    <comment ref="P48" authorId="0" shapeId="0" xr:uid="{00000000-0006-0000-0300-0000E6000000}">
      <text>
        <r>
          <rPr>
            <sz val="10"/>
            <color rgb="FF000000"/>
            <rFont val="Arial"/>
          </rPr>
          <t>Alleluia! Rejoice in the Lord always; again I will say, Rejoice. Alleluia!</t>
        </r>
      </text>
    </comment>
    <comment ref="S48" authorId="0" shapeId="0" xr:uid="{00000000-0006-0000-0300-0000E7000000}">
      <text>
        <r>
          <rPr>
            <sz val="10"/>
            <color rgb="FF000000"/>
            <rFont val="Arial"/>
          </rPr>
          <t>The fear of the Lord is the beginning of wisdom. A wise person accepts instruction and admonition and learns from them.</t>
        </r>
      </text>
    </comment>
    <comment ref="T48" authorId="0" shapeId="0" xr:uid="{00000000-0006-0000-0300-0000E8000000}">
      <text>
        <r>
          <rPr>
            <sz val="10"/>
            <color rgb="FF000000"/>
            <rFont val="Arial"/>
          </rPr>
          <t>Paul asks Philemon to put faith and Christian love into practice by welcoming Onesimus back as a brother in Christ.</t>
        </r>
      </text>
    </comment>
    <comment ref="U48" authorId="0" shapeId="0" xr:uid="{00000000-0006-0000-0300-0000E9000000}">
      <text>
        <r>
          <rPr>
            <sz val="10"/>
            <color rgb="FF000000"/>
            <rFont val="Arial"/>
          </rPr>
          <t>The greatest folly is unbelief. The greatest wisdom is faith in Jesus that holds onto him for eternal life.</t>
        </r>
      </text>
    </comment>
    <comment ref="N50" authorId="0" shapeId="0" xr:uid="{00000000-0006-0000-0300-0000EA000000}">
      <text>
        <r>
          <rPr>
            <sz val="10"/>
            <color rgb="FF000000"/>
            <rFont val="Arial"/>
          </rPr>
          <t>How much does God love you?
The Bible is the wonderful story of God's love for us and his desire that all human beings be with him in heaven forever. His grace reached out to us and found us when we were lost and wandering. He seeks us out and brings us back when we stray away. His grace has brought us out of the darkness of ignorance, impenitence, and unbelief, and it has brought us into the light of his knowledge and truth.</t>
        </r>
      </text>
    </comment>
    <comment ref="O50" authorId="0" shapeId="0" xr:uid="{00000000-0006-0000-0300-0000EB000000}">
      <text>
        <r>
          <rPr>
            <sz val="10"/>
            <color rgb="FF000000"/>
            <rFont val="Arial"/>
          </rPr>
          <t>Lord, we pray that your mercy and grace may always go before and follow after us that, loving you with undivided hearts, we may be ready for every good and useful work; through your Son, Jesus Christ our Lord, who lives and reigns with you and the Holy Spirit, one God, now and forever.</t>
        </r>
      </text>
    </comment>
    <comment ref="P50" authorId="0" shapeId="0" xr:uid="{00000000-0006-0000-0300-0000EC000000}">
      <text>
        <r>
          <rPr>
            <sz val="10"/>
            <color rgb="FF000000"/>
            <rFont val="Arial"/>
          </rPr>
          <t>I tell you, there is joy before the angels of God over one sinner who repents.</t>
        </r>
      </text>
    </comment>
    <comment ref="S50" authorId="0" shapeId="0" xr:uid="{00000000-0006-0000-0300-0000ED000000}">
      <text>
        <r>
          <rPr>
            <sz val="10"/>
            <color rgb="FF000000"/>
            <rFont val="Arial"/>
          </rPr>
          <t>The Children of Israel rebelled against God's grace. Moses interceded for them and pleaded with God to keep them in his grace.</t>
        </r>
      </text>
    </comment>
    <comment ref="T50" authorId="0" shapeId="0" xr:uid="{00000000-0006-0000-0300-0000EE000000}">
      <text>
        <r>
          <rPr>
            <sz val="10"/>
            <color rgb="FF000000"/>
            <rFont val="Arial"/>
          </rPr>
          <t>Each of us can say: Christ Jesus came into the world to save sinners, of whom I am the worst!</t>
        </r>
      </text>
    </comment>
    <comment ref="U50" authorId="0" shapeId="0" xr:uid="{00000000-0006-0000-0300-0000EF000000}">
      <text>
        <r>
          <rPr>
            <sz val="10"/>
            <color rgb="FF000000"/>
            <rFont val="Arial"/>
          </rPr>
          <t>Jesus eagerly seeks the lost, and when one sinner repents the angels in heaven rejoice!</t>
        </r>
      </text>
    </comment>
    <comment ref="N51" authorId="0" shapeId="0" xr:uid="{00000000-0006-0000-0300-0000F0000000}">
      <text>
        <r>
          <rPr>
            <sz val="10"/>
            <color rgb="FF000000"/>
            <rFont val="Arial"/>
          </rPr>
          <t>Love for God, love for our neighbor
All of the commandments are summarized in one word: Love. We are to love God above all things, and we are to love our neighbor as ourselves.
Our obedience to God and our love for our neighbor are not forced. The flow from our thankful hearts that are filled with gratitude to God for his kindness to us. We want to reflect God's love back to him and reflect his generosity to our neighbor in acts of kindness and service to others.</t>
        </r>
      </text>
    </comment>
    <comment ref="O51" authorId="0" shapeId="0" xr:uid="{00000000-0006-0000-0300-0000F1000000}">
      <text>
        <r>
          <rPr>
            <sz val="10"/>
            <color rgb="FF000000"/>
            <rFont val="Arial"/>
          </rPr>
          <t>Lord God, you call us to work in your kingdom and leave no one standing idle. Help us to order our lives by your wisdom and to serve you in willing obedience; through Jesus Christ, your Son, our Lord, who lives and reigns with you and the Holy Spirit, one God, now and forever.</t>
        </r>
      </text>
    </comment>
    <comment ref="P51" authorId="0" shapeId="0" xr:uid="{00000000-0006-0000-0300-0000F2000000}">
      <text>
        <r>
          <rPr>
            <sz val="10"/>
            <color rgb="FF000000"/>
            <rFont val="Arial"/>
          </rPr>
          <t>Alleluia! My grace is sufficient for you, for my power is made perfect in weakness. Alleluia!</t>
        </r>
      </text>
    </comment>
    <comment ref="S51" authorId="0" shapeId="0" xr:uid="{00000000-0006-0000-0300-0000F3000000}">
      <text>
        <r>
          <rPr>
            <sz val="10"/>
            <color rgb="FF000000"/>
            <rFont val="Arial"/>
          </rPr>
          <t>We show our love for God by honoring his Word and treating our neighbor fairly and honestly.</t>
        </r>
      </text>
    </comment>
    <comment ref="T51" authorId="0" shapeId="0" xr:uid="{00000000-0006-0000-0300-0000F4000000}">
      <text>
        <r>
          <rPr>
            <sz val="10"/>
            <color rgb="FF000000"/>
            <rFont val="Arial"/>
          </rPr>
          <t>God wants all people to be saved and to come to a knowledge of the truth.</t>
        </r>
      </text>
    </comment>
    <comment ref="U51" authorId="0" shapeId="0" xr:uid="{00000000-0006-0000-0300-0000F5000000}">
      <text>
        <r>
          <rPr>
            <sz val="10"/>
            <color rgb="FF000000"/>
            <rFont val="Arial"/>
          </rPr>
          <t>Use worldly wealth as a tool to gain an audience for the gospel.</t>
        </r>
      </text>
    </comment>
    <comment ref="N52" authorId="0" shapeId="0" xr:uid="{00000000-0006-0000-0300-0000F6000000}">
      <text>
        <r>
          <rPr>
            <sz val="10"/>
            <color rgb="FF000000"/>
            <rFont val="Arial"/>
          </rPr>
          <t>Love on fire, love in action
When we are indifferent we don't care. When we don't care we don't love. When we are apathetic and complacent about God and our neighbor, it's because our love has grown cold.
Jesus inspires us to remember his love for us and to turn up the heat. We reflect his love in joyful devotion, faithful worship, and thankful sacrifice to him. We are passionately concerned about the welfare of our neighbors and actively seek what's best for them. The intensity of God's love for us in Christ and the depth of his sacrifice to save us are the things that drive our love and zeal for him in return.</t>
        </r>
      </text>
    </comment>
    <comment ref="O52" authorId="0" shapeId="0" xr:uid="{00000000-0006-0000-0300-0000F7000000}">
      <text>
        <r>
          <rPr>
            <sz val="10"/>
            <color rgb="FF000000"/>
            <rFont val="Arial"/>
          </rPr>
          <t xml:space="preserve">God of truth and life, through Your Word, You called people in comfort and complacency back to You and to the tasks You had prepared for the sake of Your kingdom. Continue to guide us in the direction of righteousness that we may trust in You rather than in ourselves, serving our neighbors to the glory of Your holy name; through Jesus Christ, Your Son, our Lord, who lives and reigns with You and the Holy Spirit, one God, now and forever.
</t>
        </r>
      </text>
    </comment>
    <comment ref="P52" authorId="0" shapeId="0" xr:uid="{00000000-0006-0000-0300-0000F8000000}">
      <text>
        <r>
          <rPr>
            <sz val="10"/>
            <color rgb="FF000000"/>
            <rFont val="Arial"/>
          </rPr>
          <t xml:space="preserve">Alleluia.  If they do not hear Moses and the Prophets, neither will they be convinced if someone should rise from the dead.  Alleluia.
</t>
        </r>
      </text>
    </comment>
    <comment ref="S52" authorId="0" shapeId="0" xr:uid="{00000000-0006-0000-0300-0000F9000000}">
      <text>
        <r>
          <rPr>
            <sz val="10"/>
            <color rgb="FF000000"/>
            <rFont val="Arial"/>
          </rPr>
          <t>Woe to those who are indifferent to the plight of the suffering, who lounge in luxury and refuse to help others in distress.</t>
        </r>
      </text>
    </comment>
    <comment ref="T52" authorId="0" shapeId="0" xr:uid="{00000000-0006-0000-0300-0000FA000000}">
      <text>
        <r>
          <rPr>
            <sz val="10"/>
            <color rgb="FF000000"/>
            <rFont val="Arial"/>
          </rPr>
          <t>The love of money is the root of all kinds of evil, but godliness with contentment is great gain.</t>
        </r>
      </text>
    </comment>
    <comment ref="U52" authorId="0" shapeId="0" xr:uid="{00000000-0006-0000-0300-0000FB000000}">
      <text>
        <r>
          <rPr>
            <sz val="10"/>
            <color rgb="FF000000"/>
            <rFont val="Arial"/>
          </rPr>
          <t>The rich man loved the things of this life, but Lazarus found comfort in the life to come.</t>
        </r>
      </text>
    </comment>
    <comment ref="N53" authorId="0" shapeId="0" xr:uid="{00000000-0006-0000-0300-0000FC000000}">
      <text>
        <r>
          <rPr>
            <sz val="10"/>
            <color rgb="FF000000"/>
            <rFont val="Arial"/>
          </rPr>
          <t>God's power, God's protection
The world is a crazy place. It seems out of control. People's attitudes toward one another are cold and loveless. There is violence and hatred, looting and destruction. Wars have displaced millions. People are hurting and hopeless.
All this is the work of Satan. He is a liar and a murderer whose only object is to kill and destroy. It's been this way since he rebelled against God, and plunged the world into darkness.
But against this adversary stands another powerful force. God sends his holy angels to battle the forces of evil and to push back the encroaching darkness. St Michael and all angels keep God's people safe in his power and secure in his protection. Today we thank God for the mighty angels he sends to fight for us and protect us from all the devil's wicked works.</t>
        </r>
      </text>
    </comment>
    <comment ref="O53" authorId="0" shapeId="0" xr:uid="{00000000-0006-0000-0300-0000FD000000}">
      <text>
        <r>
          <rPr>
            <sz val="10"/>
            <color rgb="FF000000"/>
            <rFont val="Arial"/>
          </rPr>
          <t>Everlasting God, you have ordained and constituted in a wonderful order the ministries of angels and mortals: Mercifully grant that, as your holy angels always serve and worship you in heaven, so by your appointment they may help and defend us here on earth; through Jesus Christ our Lord, who lives and reigns with you and the Holy Spirit, one God, for ever and ever. Amen.</t>
        </r>
      </text>
    </comment>
    <comment ref="P53" authorId="0" shapeId="0" xr:uid="{00000000-0006-0000-0300-0000FE000000}">
      <text>
        <r>
          <rPr>
            <sz val="10"/>
            <color rgb="FF000000"/>
            <rFont val="Arial"/>
          </rPr>
          <t>Alleluia.  Bless the Lord, you angels, you mighty ones who do God’s bidding.  Alleluia.</t>
        </r>
      </text>
    </comment>
    <comment ref="R53" authorId="0" shapeId="0" xr:uid="{00000000-0006-0000-0300-0000FF000000}">
      <text>
        <r>
          <rPr>
            <sz val="10"/>
            <color rgb="FF000000"/>
            <rFont val="Arial"/>
          </rPr>
          <t>[JB notes&gt; One angel slew the firstborn of Egypt. 
False gods are demons that deceive.
Evil angels have power, too.
]</t>
        </r>
      </text>
    </comment>
    <comment ref="S53" authorId="0" shapeId="0" xr:uid="{00000000-0006-0000-0300-000000010000}">
      <text>
        <r>
          <rPr>
            <sz val="10"/>
            <color rgb="FF000000"/>
            <rFont val="Arial"/>
          </rPr>
          <t>God's angels protect his people, fight for us against our spiritual enemies, and keep us safe until the Day of Judgment.</t>
        </r>
      </text>
    </comment>
    <comment ref="T53" authorId="0" shapeId="0" xr:uid="{00000000-0006-0000-0300-000001010000}">
      <text>
        <r>
          <rPr>
            <sz val="10"/>
            <color rgb="FF000000"/>
            <rFont val="Arial"/>
          </rPr>
          <t>Satan rebelled against God and lost his place in heaven. God and his angels were victorious over the rebel forces of darkness.</t>
        </r>
      </text>
    </comment>
    <comment ref="U53" authorId="0" shapeId="0" xr:uid="{00000000-0006-0000-0300-000002010000}">
      <text>
        <r>
          <rPr>
            <sz val="10"/>
            <color rgb="FF000000"/>
            <rFont val="Arial"/>
          </rPr>
          <t>Jesus' disciples were thrilled with the power Jesus gave them over evil spirits. But the real cause for rejoicing was their place with Jesus in heaven.</t>
        </r>
      </text>
    </comment>
    <comment ref="N54" authorId="0" shapeId="0" xr:uid="{00000000-0006-0000-0300-000003010000}">
      <text>
        <r>
          <rPr>
            <sz val="10"/>
            <color rgb="FF000000"/>
            <rFont val="Arial"/>
          </rPr>
          <t>Power to persevere!
It is easy to be joyful and thankful when everything is going well in our lives. But things don't always go well. We experience sickness, pain, suffering, heartbreak, disappointment, loss, tragedy, and finally death.
God has answers to life's challenges. He gives us power to persevere through difficult times in this life, and he promises us perfection and glory in heaven in the life to come. With his strength we can persevere through this life's trials, come what may, with the confidence that our eternal home in heaven is waiting for us at the end of life's journey.</t>
        </r>
      </text>
    </comment>
    <comment ref="O54" authorId="0" shapeId="0" xr:uid="{00000000-0006-0000-0300-000004010000}">
      <text>
        <r>
          <rPr>
            <sz val="10"/>
            <color rgb="FF000000"/>
            <rFont val="Arial"/>
          </rPr>
          <t>Grant, O merciful Lord, to your faithful people pardon and peace that they may be cleansed from all their sins and serve you with a quiet mind; through Jesus Christ, your Son, our Lord, who lives and reigns with you and the Holy Spirit, one God, now and forever.</t>
        </r>
      </text>
    </comment>
    <comment ref="P54" authorId="0" shapeId="0" xr:uid="{00000000-0006-0000-0300-000005010000}">
      <text>
        <r>
          <rPr>
            <sz val="10"/>
            <color rgb="FF000000"/>
            <rFont val="Arial"/>
          </rPr>
          <t>Alleluia! This is the Lord, we trusted in him; let us rejoice and be glad in his salvation. Alleluia!</t>
        </r>
      </text>
    </comment>
    <comment ref="S54" authorId="0" shapeId="0" xr:uid="{00000000-0006-0000-0300-000006010000}">
      <text>
        <r>
          <rPr>
            <sz val="10"/>
            <color rgb="FF000000"/>
            <rFont val="Arial"/>
          </rPr>
          <t>Ruth is determined to cling to the God of Israel, the only God who offers hope in the face of trouble and dispair.</t>
        </r>
      </text>
    </comment>
    <comment ref="T54" authorId="0" shapeId="0" xr:uid="{00000000-0006-0000-0300-000007010000}">
      <text>
        <r>
          <rPr>
            <sz val="10"/>
            <color rgb="FF000000"/>
            <rFont val="Arial"/>
          </rPr>
          <t>We persevere through the hardship and suffering of this life, trusting that God's faithfulness will take us to heaven.</t>
        </r>
      </text>
    </comment>
    <comment ref="U54" authorId="0" shapeId="0" xr:uid="{00000000-0006-0000-0300-000008010000}">
      <text>
        <r>
          <rPr>
            <sz val="10"/>
            <color rgb="FF000000"/>
            <rFont val="Arial"/>
          </rPr>
          <t>A cleansed leper was filled with thanksgiving to Jesus for his kindness.</t>
        </r>
      </text>
    </comment>
    <comment ref="N55" authorId="0" shapeId="0" xr:uid="{00000000-0006-0000-0300-000009010000}">
      <text>
        <r>
          <rPr>
            <sz val="10"/>
            <color rgb="FF000000"/>
            <rFont val="Arial"/>
          </rPr>
          <t xml:space="preserve">Friendship Sunday
What a Friend we have in Jesus!
The joy of friendship is one of the greatest blessings we enjoy on this earth. God gives us companions to share our joys and our sorrows in our walk through life. Having a friend to listen and share encouragement is a great blessing indeed!
We have one friend who will never fail us under any circumstances. Jesus our Savior has befriended us and called us his friends. He knows what we experience in life. He listens and understands. He even laid down his life for his friends.
</t>
        </r>
      </text>
    </comment>
    <comment ref="O55" authorId="0" shapeId="0" xr:uid="{00000000-0006-0000-0300-00000A010000}">
      <text>
        <r>
          <rPr>
            <sz val="10"/>
            <color rgb="FF000000"/>
            <rFont val="Arial"/>
          </rPr>
          <t>Lord, keep your household, the Church, in continual godliness and set us free from all adversities that, under your protection, we may serve you with true devotion and holy deeds; through Jesus Christ, your Son, our Lord, who lives and reigns with you and the Holy Spirit, one God, now and forever.</t>
        </r>
      </text>
    </comment>
    <comment ref="P55" authorId="0" shapeId="0" xr:uid="{00000000-0006-0000-0300-00000B010000}">
      <text>
        <r>
          <rPr>
            <sz val="10"/>
            <color rgb="FF000000"/>
            <rFont val="Arial"/>
          </rPr>
          <t>Alleluia.  Greater love has no one than this: to lay down one’s life for one’s friends.  Alleluia.</t>
        </r>
      </text>
    </comment>
    <comment ref="N56" authorId="0" shapeId="0" xr:uid="{00000000-0006-0000-0300-00000C010000}">
      <text>
        <r>
          <rPr>
            <sz val="10"/>
            <color rgb="FF000000"/>
            <rFont val="Arial"/>
          </rPr>
          <t>Humility and thanks
Humility is not cutting ourselves down; it is lifting other people up. Humility is not hating ourselves; it is recognizing that God has loved us. Humility is not depreciating what we've done; it is recognizing that everything we've accomplished is done through God who gives us grace and strength.
When we have a true and realistic assessment of our own limitations, God's grace shines all the more brightly. We recognize that every gift we enjoy we have received from him. All our thanks, worship and praise belong to him for all his goodness to us.</t>
        </r>
      </text>
    </comment>
    <comment ref="O56" authorId="0" shapeId="0" xr:uid="{00000000-0006-0000-0300-00000D010000}">
      <text>
        <r>
          <rPr>
            <sz val="10"/>
            <color rgb="FF000000"/>
            <rFont val="Arial"/>
          </rPr>
          <t>God, our refuge and strength, have mercy on your Church, as we come in prayer before you. Answer us not in judgment on our sins, but in peace and forgiveness; through Jesus Christ, your Son, our Lord, who lives and reigns with you and the Holy Spirit, one God, now and forever.</t>
        </r>
      </text>
    </comment>
    <comment ref="S56" authorId="0" shapeId="0" xr:uid="{00000000-0006-0000-0300-00000E010000}">
      <text>
        <r>
          <rPr>
            <sz val="10"/>
            <color rgb="FF000000"/>
            <rFont val="Arial"/>
          </rPr>
          <t>God loves and cares for all his creation, and he shows special affection for his chosen people.</t>
        </r>
      </text>
    </comment>
    <comment ref="T56" authorId="0" shapeId="0" xr:uid="{00000000-0006-0000-0300-00000F010000}">
      <text>
        <r>
          <rPr>
            <sz val="10"/>
            <color rgb="FF000000"/>
            <rFont val="Arial"/>
          </rPr>
          <t>The Lord Jesus is preparing a crown of glory for his people.</t>
        </r>
      </text>
    </comment>
    <comment ref="U56" authorId="0" shapeId="0" xr:uid="{00000000-0006-0000-0300-000010010000}">
      <text>
        <r>
          <rPr>
            <sz val="10"/>
            <color rgb="FF000000"/>
            <rFont val="Arial"/>
          </rPr>
          <t>Don't let money and the desire for money rob you of the gift of eternal life.</t>
        </r>
      </text>
    </comment>
    <comment ref="N57" authorId="0" shapeId="0" xr:uid="{00000000-0006-0000-0300-000011010000}">
      <text>
        <r>
          <rPr>
            <sz val="10"/>
            <color rgb="FF000000"/>
            <rFont val="Arial"/>
          </rPr>
          <t>Righteous through Faith
The ultimate question for every human being of every age is always the same: What will happen to me when I die? How can I stand in the judgment before a holy God who hates sin and justly condemns sinners? We all have to address this question, because we all have a date with judgment.
The commandments show us that we are sinners. We cannot keep the law. The law exposes our guilt. But in the gospel a righteousness from God is revealed, a righteousness that comes by faith in Jesus Christ. He is our perfect substitute and sacrifice to remove our sins and give us righteousness. When we trust in him we are clothed in his perfection and found not-guilty before God.</t>
        </r>
      </text>
    </comment>
    <comment ref="O57" authorId="0" shapeId="0" xr:uid="{00000000-0006-0000-0300-000012010000}">
      <text>
        <r>
          <rPr>
            <sz val="10"/>
            <color rgb="FF000000"/>
            <rFont val="Arial"/>
          </rPr>
          <t>Gracious Lord, our refuge and strength, pour out your Holy Spirit on your faithful people. Keep them steadfast in your Word, protect and comfort them in all temptations, defend them against all their enemies, and bestow on the Church your saving peace; through Jesus Christ, your Son, our Lord, who lives and reigns with you and the Holy Spirit, one God, now and forever.</t>
        </r>
      </text>
    </comment>
    <comment ref="P57" authorId="0" shapeId="0" xr:uid="{00000000-0006-0000-0300-000013010000}">
      <text>
        <r>
          <rPr>
            <sz val="10"/>
            <color rgb="FF000000"/>
            <rFont val="Arial"/>
          </rPr>
          <t>Alleluia! If you continue in my Word, you are truly my disciples, and you will know the truth, and the truth will make you free. Alleluia!</t>
        </r>
      </text>
    </comment>
    <comment ref="S57" authorId="0" shapeId="0" xr:uid="{00000000-0006-0000-0300-000014010000}">
      <text>
        <r>
          <rPr>
            <sz val="10"/>
            <color rgb="FF000000"/>
            <rFont val="Arial"/>
          </rPr>
          <t>God makes a covenant with his believing people to forgive their wickedness and remember their sins no more.</t>
        </r>
      </text>
    </comment>
    <comment ref="T57" authorId="0" shapeId="0" xr:uid="{00000000-0006-0000-0300-000015010000}">
      <text>
        <r>
          <rPr>
            <sz val="10"/>
            <color rgb="FF000000"/>
            <rFont val="Arial"/>
          </rPr>
          <t>We are justified by grace through faith, without the deeds of the law.</t>
        </r>
      </text>
    </comment>
    <comment ref="U57" authorId="0" shapeId="0" xr:uid="{00000000-0006-0000-0300-000016010000}">
      <text>
        <r>
          <rPr>
            <sz val="10"/>
            <color rgb="FF000000"/>
            <rFont val="Arial"/>
          </rPr>
          <t>The Word of truth sets us free from ignorance, superstition, and slavery to sin and its condemnation.</t>
        </r>
      </text>
    </comment>
    <comment ref="N58" authorId="0" shapeId="0" xr:uid="{00000000-0006-0000-0300-000017010000}">
      <text>
        <r>
          <rPr>
            <sz val="10"/>
            <color rgb="FF000000"/>
            <rFont val="Arial"/>
          </rPr>
          <t xml:space="preserve">Residents below, citizens above
The Christian and the state
</t>
        </r>
      </text>
    </comment>
    <comment ref="N59" authorId="0" shapeId="0" xr:uid="{00000000-0006-0000-0300-000018010000}">
      <text>
        <r>
          <rPr>
            <sz val="10"/>
            <color rgb="FF000000"/>
            <rFont val="Arial"/>
          </rPr>
          <t>The Day of Reckoning
Judgment Day is coming. It is unstoppable and unavoidable. There is nothing any human being can do to avoid standing before the divine court to give an account of his life.
There is only one hope for success in the judgment: that is our relationship with Jesus, the righteous Judge. He has saved us from our sins. When we trust in Jesus, we can stand in the judgment without fear, because the Judge is our Savior and our best friend. Without Jesus we stand alone in the judgment, clothed only in the rags of our own inadequate works.
Lord, make us always ready to meet you in the Day of Reckoning!</t>
        </r>
      </text>
    </comment>
    <comment ref="O59" authorId="0" shapeId="0" xr:uid="{00000000-0006-0000-0300-000019010000}">
      <text>
        <r>
          <rPr>
            <sz val="10"/>
            <color rgb="FF000000"/>
            <rFont val="Arial"/>
          </rPr>
          <t>Lord God Almighty, so rule and govern our hearts and minds by your Holy Spirit that we may always look forward to the end of this present evil age and to teh day of your righteous judgment. Keep us steadfast in true and living faith and present us at last holy and blameless before you; through your Son, Jesus Christ our Lord, who lives and reigns with you and the Holy Spirit, one God, now and forever.</t>
        </r>
      </text>
    </comment>
    <comment ref="P59" authorId="0" shapeId="0" xr:uid="{00000000-0006-0000-0300-00001A010000}">
      <text>
        <r>
          <rPr>
            <sz val="10"/>
            <color rgb="FF000000"/>
            <rFont val="Arial"/>
          </rPr>
          <t>Alleluia! Watch therefore, for you do not know on what day your Lord is coming. Alleluia!</t>
        </r>
      </text>
    </comment>
    <comment ref="R59" authorId="0" shapeId="0" xr:uid="{00000000-0006-0000-0300-00001B010000}">
      <text>
        <r>
          <rPr>
            <sz val="10"/>
            <color rgb="FF000000"/>
            <rFont val="Arial"/>
          </rPr>
          <t>(JB Note: A good lawyer knows the law; a better lawyer knows the judge.)</t>
        </r>
      </text>
    </comment>
    <comment ref="S59" authorId="0" shapeId="0" xr:uid="{00000000-0006-0000-0300-00001C010000}">
      <text>
        <r>
          <rPr>
            <sz val="10"/>
            <color rgb="FF000000"/>
            <rFont val="Arial"/>
          </rPr>
          <t>God threatened judgment and destruction upon impenitent Jerusalem.</t>
        </r>
      </text>
    </comment>
    <comment ref="T59" authorId="0" shapeId="0" xr:uid="{00000000-0006-0000-0300-00001D010000}">
      <text>
        <r>
          <rPr>
            <sz val="10"/>
            <color rgb="FF000000"/>
            <rFont val="Arial"/>
          </rPr>
          <t>Judgment Day will bring the eternal damnation of God's enemies and the eternal glory of heaven for all who trust Jesus' salvation.</t>
        </r>
      </text>
    </comment>
    <comment ref="U59" authorId="0" shapeId="0" xr:uid="{00000000-0006-0000-0300-00001E010000}">
      <text>
        <r>
          <rPr>
            <sz val="10"/>
            <color rgb="FF000000"/>
            <rFont val="Arial"/>
          </rPr>
          <t>God will call all people to give an account for their time on earth.</t>
        </r>
      </text>
    </comment>
    <comment ref="N60" authorId="0" shapeId="0" xr:uid="{00000000-0006-0000-0300-00001F010000}">
      <text>
        <r>
          <rPr>
            <sz val="10"/>
            <color rgb="FF000000"/>
            <rFont val="Arial"/>
          </rPr>
          <t xml:space="preserve">Saints Triumphant
No eye has seen, no ear has heard, no mind has conceived of the things that God has prepared for those who love him! At the end of this life we will rest from our labors. Sin and temptation, illness and weakness, fatigue, sorrow, disappointment, loss and death will all be gone and forgotten.
Today we give thanks for the Lord's mercy to all our brothers and sisters in the faith who have gone before us into glory and who now rest from their labors. We look forward to the time when we will be taken from this world into heaven to be with Jesus. </t>
        </r>
      </text>
    </comment>
    <comment ref="O60" authorId="0" shapeId="0" xr:uid="{00000000-0006-0000-0300-000020010000}">
      <text>
        <r>
          <rPr>
            <sz val="10"/>
            <color rgb="FF000000"/>
            <rFont val="Arial"/>
          </rPr>
          <t>Almighty God and Savior, you have set the final day and hour when we shall be delivered from this world of sin and death. Keep us ever watchful for the coming of your Son that we may sit with him and all your holy ones at the marriage feast in heaven; through Jesus Christ, your Son, our Lord, who lives and reigns with you and the Holy Spirit, one God, now and forever.</t>
        </r>
      </text>
    </comment>
    <comment ref="P60" authorId="0" shapeId="0" xr:uid="{00000000-0006-0000-0300-000021010000}">
      <text>
        <r>
          <rPr>
            <sz val="10"/>
            <color rgb="FF000000"/>
            <rFont val="Arial"/>
          </rPr>
          <t>Alleluia! They are before the throne of God and serve him day and night in his temple. Alleluia!</t>
        </r>
      </text>
    </comment>
    <comment ref="S60" authorId="0" shapeId="0" xr:uid="{00000000-0006-0000-0300-000022010000}">
      <text>
        <r>
          <rPr>
            <sz val="10"/>
            <color rgb="FF000000"/>
            <rFont val="Arial"/>
          </rPr>
          <t>God paints a picture of heaven as a place of perfect harmony and tranquility.</t>
        </r>
      </text>
    </comment>
    <comment ref="T60" authorId="0" shapeId="0" xr:uid="{00000000-0006-0000-0300-000023010000}">
      <text>
        <r>
          <rPr>
            <sz val="10"/>
            <color rgb="FF000000"/>
            <rFont val="Arial"/>
          </rPr>
          <t>Persevere through this life's difficulties, as you await the glorious life to come.</t>
        </r>
      </text>
    </comment>
    <comment ref="U60" authorId="0" shapeId="0" xr:uid="{00000000-0006-0000-0300-000024010000}">
      <text>
        <r>
          <rPr>
            <sz val="10"/>
            <color rgb="FF000000"/>
            <rFont val="Arial"/>
          </rPr>
          <t>There is no marriage in the resurrection, but there is real life to the very fullest.</t>
        </r>
      </text>
    </comment>
    <comment ref="N61" authorId="0" shapeId="0" xr:uid="{00000000-0006-0000-0300-000025010000}">
      <text>
        <r>
          <rPr>
            <sz val="10"/>
            <color rgb="FF000000"/>
            <rFont val="Arial"/>
          </rPr>
          <t>Christ the King
What kind of King is this? He rides into town on a little donkey. He commands no armies. He is enthroned--rather suspended--on a wooden cross. There is no earthly glory with this King, only apparent shame.
But this King forgives sins. This King promises paradise. This King dies to conquer death and rises again to redeem the world. This King is worthy of our trust and confidence, and we are counting on him to return on the clouds of glory to take us to his eternal kingdom.
May our prayer today be that of the dying thief: Lord Jesus, remember me when you come into your kingdom!</t>
        </r>
      </text>
    </comment>
    <comment ref="O61" authorId="0" shapeId="0" xr:uid="{00000000-0006-0000-0300-000026010000}">
      <text>
        <r>
          <rPr>
            <sz val="10"/>
            <color rgb="FF000000"/>
            <rFont val="Arial"/>
          </rPr>
          <t>Lord Jesus Christ, by your victory you have broken the power of the evil one. Fill our hearts with joy and peace as we look with hope to that day when every creature in heaven and earth will acclaim you King of kings and Lord of lords to your unending praise and glory; for you live and reign with the Father and the Holy Spirit, one God, now and forever.</t>
        </r>
      </text>
    </comment>
    <comment ref="P61" authorId="0" shapeId="0" xr:uid="{00000000-0006-0000-0300-000027010000}">
      <text>
        <r>
          <rPr>
            <sz val="10"/>
            <color rgb="FF000000"/>
            <rFont val="Arial"/>
          </rPr>
          <t>Alleluia! I am the Alpha and the Omega, the First and the Last, the Beginning and the End. Alleluia!</t>
        </r>
      </text>
    </comment>
    <comment ref="S61" authorId="0" shapeId="0" xr:uid="{00000000-0006-0000-0300-000028010000}">
      <text>
        <r>
          <rPr>
            <sz val="10"/>
            <color rgb="FF000000"/>
            <rFont val="Arial"/>
          </rPr>
          <t>Jesus, the Righteous Branch from David's line, is the King who will reign over God's people for ever and ever.</t>
        </r>
      </text>
    </comment>
    <comment ref="T61" authorId="0" shapeId="0" xr:uid="{00000000-0006-0000-0300-000029010000}">
      <text>
        <r>
          <rPr>
            <sz val="10"/>
            <color rgb="FF000000"/>
            <rFont val="Arial"/>
          </rPr>
          <t>Jesus is seated above the highest heavens, ruling all things for the glory of his name and the good of his church.</t>
        </r>
      </text>
    </comment>
    <comment ref="U61" authorId="0" shapeId="0" xr:uid="{00000000-0006-0000-0300-00002A010000}">
      <text>
        <r>
          <rPr>
            <sz val="10"/>
            <color rgb="FF000000"/>
            <rFont val="Arial"/>
          </rPr>
          <t>His throne was a cross, his crown was thorns. Yet through his humble, shameful death, Jesus defeated our enemies, so he can live and rule forever.</t>
        </r>
      </text>
    </comment>
    <comment ref="N62" authorId="0" shapeId="0" xr:uid="{00000000-0006-0000-0300-00002B010000}">
      <text>
        <r>
          <rPr>
            <sz val="10"/>
            <color rgb="FF000000"/>
            <rFont val="Arial"/>
          </rPr>
          <t>The secret of true Thanksgiving
We live in the most affluent and economically prosperous land in the history of the planet--that is a fact. We enjoy more comforts and more personal luxuries than any civilization that has ever gone before us. 
So why isn't everyone overflowing with happiness and thanksgiving?
If thanksgiving depended on having stuff, we'd be there. If it were about comfort, we'd be there. Instead so many people still suffer from sadness, regret, and bitterness. What's wrong?
There's a secret to happiness and real Thanksgiving that sadly most people haven't found. It's that secret of genuine contentment that we celebrate today!</t>
        </r>
      </text>
    </comment>
    <comment ref="O62" authorId="0" shapeId="0" xr:uid="{00000000-0006-0000-0300-00002C010000}">
      <text>
        <r>
          <rPr>
            <sz val="10"/>
            <color rgb="FF000000"/>
            <rFont val="Arial"/>
          </rPr>
          <t>Almighty God our Father, your generous goodness comes to us new every day. By the work of your Spirit lead us to acknowledge your goodness, give thanks for your benefits, and serve you in willing obedience; through your Son, Jesus Christ our Lord.</t>
        </r>
      </text>
    </comment>
    <comment ref="P62" authorId="0" shapeId="0" xr:uid="{00000000-0006-0000-0300-00002D010000}">
      <text>
        <r>
          <rPr>
            <sz val="10"/>
            <color rgb="FF000000"/>
            <rFont val="Arial"/>
          </rPr>
          <t>Alleluia! Give thanks to the Lord, for he is good. His love endures forever. Alleluia!</t>
        </r>
      </text>
    </comment>
    <comment ref="R62" authorId="0" shapeId="0" xr:uid="{00000000-0006-0000-0300-00002E010000}">
      <text>
        <r>
          <rPr>
            <sz val="10"/>
            <color rgb="FF000000"/>
            <rFont val="Arial"/>
          </rPr>
          <t>type here
(JB Note: Sometimes "secret" this and that is not so secret at all. Let's not over complicate things. "Secret sauce" could just be Thousand Island dressing. "Secret to weight loss" could be just eating less and exercising more. "Secret to building wealth" could be just living below your means and saving and investing early.)</t>
        </r>
      </text>
    </comment>
    <comment ref="S62" authorId="0" shapeId="0" xr:uid="{00000000-0006-0000-0300-00002F010000}">
      <text>
        <r>
          <rPr>
            <sz val="10"/>
            <color rgb="FF000000"/>
            <rFont val="Arial"/>
          </rPr>
          <t>Remember to thank and praise the Lord for all his abundant goodness!</t>
        </r>
      </text>
    </comment>
    <comment ref="T62" authorId="0" shapeId="0" xr:uid="{00000000-0006-0000-0300-000030010000}">
      <text>
        <r>
          <rPr>
            <sz val="10"/>
            <color rgb="FF000000"/>
            <rFont val="Arial"/>
          </rPr>
          <t>Paul invited the Philippians to share in the joy of giving to others. We honor and thank God by giving back to him out of what he has given to us.</t>
        </r>
      </text>
    </comment>
    <comment ref="U62" authorId="0" shapeId="0" xr:uid="{00000000-0006-0000-0300-000031010000}">
      <text>
        <r>
          <rPr>
            <sz val="10"/>
            <color rgb="FF000000"/>
            <rFont val="Arial"/>
          </rPr>
          <t>A cleansed leper was filled with thanksgiving to Jesus for his kindness.</t>
        </r>
      </text>
    </comment>
    <comment ref="N63" authorId="0" shapeId="0" xr:uid="{00000000-0006-0000-0300-000032010000}">
      <text>
        <r>
          <rPr>
            <sz val="10"/>
            <color rgb="FF000000"/>
            <rFont val="Arial"/>
          </rPr>
          <t>The secret of true Thanksgiving
We live in the most affluent and economically prosperous land in the history of the planet--that is a fact. We enjoy more comforts and more personal luxuries than any civilization that has ever gone before us. 
So why isn't everyone overflowing with happiness and thanksgiving?
If thanksgiving depended on having stuff, we'd be there. If it were about comfort, we'd be there. Instead so many people still suffer from sadness, regret, and bitterness. What's wrong?
There's a secret to happiness and real Thanksgiving that sadly most people haven't found. It's that secret of genuine contentment that we celebrate today!</t>
        </r>
      </text>
    </comment>
    <comment ref="O63" authorId="0" shapeId="0" xr:uid="{00000000-0006-0000-0300-000033010000}">
      <text>
        <r>
          <rPr>
            <sz val="10"/>
            <color rgb="FF000000"/>
            <rFont val="Arial"/>
          </rPr>
          <t>Almighty God our Father, your generous goodness comes to us new every day. By the work of your Spirit lead us to acknowledge your goodness, give thanks for your benefits, and serve you in willing obedience; through your Son, Jesus Christ our Lord.</t>
        </r>
      </text>
    </comment>
    <comment ref="P63" authorId="0" shapeId="0" xr:uid="{00000000-0006-0000-0300-000034010000}">
      <text>
        <r>
          <rPr>
            <sz val="10"/>
            <color rgb="FF000000"/>
            <rFont val="Arial"/>
          </rPr>
          <t>Alleluia! Give thanks to the Lord, for he is good. His love endures forever. Alleluia!</t>
        </r>
      </text>
    </comment>
    <comment ref="N64" authorId="0" shapeId="0" xr:uid="{00000000-0006-0000-0300-000035010000}">
      <text>
        <r>
          <rPr>
            <sz val="10"/>
            <color rgb="FF000000"/>
            <rFont val="Arial"/>
          </rPr>
          <t xml:space="preserve">Ready to meet Jesus: Walking in the light of the Lord
Jesus has promised us that he will return to judge all people and to take his chosen people to heaven. We don't know when he will return, but we do know that he will return, because he has promised to return.
As we wait for Jesus to come back, we walk in his light. We want to follow his commands because we love him. We want to walk in his ways because walking with him is the path of righteousness. When we are walking in the light of the Lord we are always ready for Jesus' return. </t>
        </r>
      </text>
    </comment>
    <comment ref="O64" authorId="0" shapeId="0" xr:uid="{00000000-0006-0000-0300-000036010000}">
      <text>
        <r>
          <rPr>
            <sz val="10"/>
            <color rgb="FF000000"/>
            <rFont val="Arial"/>
          </rPr>
          <t>Stir up your power, O Lord, and come. Protect us by your strength and save us from the threatening dangers of our sins; for you live and reign with the Father and the Holy Spirit, one God, now and forever.</t>
        </r>
      </text>
    </comment>
    <comment ref="P64" authorId="0" shapeId="0" xr:uid="{00000000-0006-0000-0300-000037010000}">
      <text>
        <r>
          <rPr>
            <sz val="10"/>
            <color rgb="FF000000"/>
            <rFont val="Arial"/>
          </rPr>
          <t>Alleluia! He who testifies to these things says, "Yes, I am coming soon." Amen. Come, Lord Jesus. Alleluia!</t>
        </r>
      </text>
    </comment>
    <comment ref="S64" authorId="0" shapeId="0" xr:uid="{00000000-0006-0000-0300-000038010000}">
      <text>
        <r>
          <rPr>
            <sz val="10"/>
            <color rgb="FF000000"/>
            <rFont val="Arial"/>
          </rPr>
          <t>God's light will shine forever on the Lord's holy mountain.</t>
        </r>
      </text>
    </comment>
    <comment ref="T64" authorId="0" shapeId="0" xr:uid="{00000000-0006-0000-0300-000039010000}">
      <text>
        <r>
          <rPr>
            <sz val="10"/>
            <color rgb="FF000000"/>
            <rFont val="Arial"/>
          </rPr>
          <t>When we live in love we walk in the light of God's love.</t>
        </r>
      </text>
    </comment>
    <comment ref="U64" authorId="0" shapeId="0" xr:uid="{00000000-0006-0000-0300-00003A010000}">
      <text>
        <r>
          <rPr>
            <sz val="10"/>
            <color rgb="FF000000"/>
            <rFont val="Arial"/>
          </rPr>
          <t>Even though Jesus' coming will be sudden and unexpected, his followers will not be caught unprepared.</t>
        </r>
      </text>
    </comment>
    <comment ref="N65" authorId="0" shapeId="0" xr:uid="{00000000-0006-0000-0300-00003B010000}">
      <text>
        <r>
          <rPr>
            <sz val="10"/>
            <color rgb="FF000000"/>
            <rFont val="Arial"/>
          </rPr>
          <t>Sayings of Christmas: Home for the holidays
What images come to mind when you think of the word "home"? Home is where the heart is. Home is where we belong. Home is where we find a warm welcome, a loving embrace from people we love. Home recalls memories of mom's delicious cooking, conversations around the dinner table, joy and laughter.
We have a place in our Father's house. Jesus' birth at Christmas opens for us the doors of heaven, where we find a warm welcome in God's loving embrace. We are no longer strangers or foreigners. We are God's family in Christ, and through Jesus we hear a warm "Welcome home!"</t>
        </r>
      </text>
    </comment>
    <comment ref="O65" authorId="0" shapeId="0" xr:uid="{00000000-0006-0000-0300-00003C010000}">
      <text>
        <r>
          <rPr>
            <sz val="10"/>
            <color rgb="FF000000"/>
            <rFont val="Arial"/>
          </rPr>
          <t>Stir up your power, O Lord, and come. Protect us by your strength and save us from the threatening dangers of our sins; for you live and reign with the Father and the Holy Spirit, one God, now and forever.</t>
        </r>
      </text>
    </comment>
    <comment ref="N66" authorId="0" shapeId="0" xr:uid="{00000000-0006-0000-0300-00003D010000}">
      <text>
        <r>
          <rPr>
            <sz val="10"/>
            <color rgb="FF000000"/>
            <rFont val="Arial"/>
          </rPr>
          <t>Ready to meet Jesus: The branch from Jesse's root.
Jesus, the promised Messiah, descended from the tribe of Judah, through the line of Jesse and King David, and on through the generations. He came as a Jew sent to gather the lost sheep of Israel.
But this branch growing from Jesse's root is for all nations. People from every nation and tribe on earth will find rest and healing in the forgiveness that Jesus brings. All people will see the salvation of our God.</t>
        </r>
      </text>
    </comment>
    <comment ref="O66" authorId="0" shapeId="0" xr:uid="{00000000-0006-0000-0300-00003E010000}">
      <text>
        <r>
          <rPr>
            <sz val="10"/>
            <color rgb="FF000000"/>
            <rFont val="Arial"/>
          </rPr>
          <t>Stir up our hearts, O Lord, to prepare the way for your only Son. By his coming give us strength in our conflicts and shed light on our path through the darkness of this world; through your Son, Jesus Christ our Lord, who lives and reigns with you and the Holy Spirit, one God, now and forever.</t>
        </r>
      </text>
    </comment>
    <comment ref="P66" authorId="0" shapeId="0" xr:uid="{00000000-0006-0000-0300-00003F010000}">
      <text>
        <r>
          <rPr>
            <sz val="10"/>
            <color rgb="FF000000"/>
            <rFont val="Arial"/>
          </rPr>
          <t>Alleluia! Prepare the way for the Lord, make straight paths for him. All mankind will see God's salvation. Alleluia!</t>
        </r>
      </text>
    </comment>
    <comment ref="S66" authorId="0" shapeId="0" xr:uid="{00000000-0006-0000-0300-000040010000}">
      <text>
        <r>
          <rPr>
            <sz val="10"/>
            <color rgb="FF000000"/>
            <rFont val="Arial"/>
          </rPr>
          <t>The branch from Jesse's root is the long-expected Savior.</t>
        </r>
      </text>
    </comment>
    <comment ref="T66" authorId="0" shapeId="0" xr:uid="{00000000-0006-0000-0300-000041010000}">
      <text>
        <r>
          <rPr>
            <sz val="10"/>
            <color rgb="FF000000"/>
            <rFont val="Arial"/>
          </rPr>
          <t>The root of Jesse is the Ruler over all people, both Jews and Gentiles will serve him.</t>
        </r>
      </text>
    </comment>
    <comment ref="U66" authorId="0" shapeId="0" xr:uid="{00000000-0006-0000-0300-000042010000}">
      <text>
        <r>
          <rPr>
            <sz val="10"/>
            <color rgb="FF000000"/>
            <rFont val="Arial"/>
          </rPr>
          <t>John the Baptist prepared the way for Jesus, the promised Messiah.</t>
        </r>
      </text>
    </comment>
    <comment ref="N67" authorId="0" shapeId="0" xr:uid="{00000000-0006-0000-0300-000043010000}">
      <text>
        <r>
          <rPr>
            <sz val="10"/>
            <color rgb="FF000000"/>
            <rFont val="Arial"/>
          </rPr>
          <t>Sayings of Christmas: Christmas is for kids
This time of year the toy section of the department store explodes with the latest in gifts and gadgets for kids. Watch the wonder in children's eyes when they look at the beautiful decorations and gifts under the tree. It's wonderful to be a child at Christmas!
We are children of God through faith in Jesus. As members of God's family we have received the greatest gift from our Father in heaven, the gift of his Son Jesus. With the confident trust of little children we gaze at the infant Jesus in the manger and welcome our Savior into our hearts and our homes.</t>
        </r>
      </text>
    </comment>
    <comment ref="O67" authorId="0" shapeId="0" xr:uid="{00000000-0006-0000-0300-000044010000}">
      <text>
        <r>
          <rPr>
            <sz val="10"/>
            <color rgb="FF000000"/>
            <rFont val="Arial"/>
          </rPr>
          <t>Stir up our hearts, O Lord, to prepare the way for your only Son. By his coming give us strength in our conflicts and shed light on our path through the darkness of this world; through your Son, Jesus Christ our Lord, who lives and reigns with you and the Holy Spirit, one God, now and forever.</t>
        </r>
      </text>
    </comment>
    <comment ref="N68" authorId="0" shapeId="0" xr:uid="{00000000-0006-0000-0300-000045010000}">
      <text>
        <r>
          <rPr>
            <sz val="10"/>
            <color rgb="FF000000"/>
            <rFont val="Arial"/>
          </rPr>
          <t>Ready to meet Jesus: John the Baptist prepares the way
After millennia of watching and waiting, the stage was set for the coming of the Messiah. In fulfillment of the prophecies of old, God sent his servant John the Baptist as the forerunner to prepare the way for the Christ.
The preaching of John the Baptist announced that the Messiah's coming was close at hand. John was able to see what wonderful blessings the Messiah finally brought with him when he came.</t>
        </r>
      </text>
    </comment>
    <comment ref="O68" authorId="0" shapeId="0" xr:uid="{00000000-0006-0000-0300-000046010000}">
      <text>
        <r>
          <rPr>
            <sz val="10"/>
            <color rgb="FF000000"/>
            <rFont val="Arial"/>
          </rPr>
          <t>Hear our prayers, lord Jesus Christ, and come with the good news of your mighty deliverance. Drive the darkness from our hearts and fill us with your light; for you live and reign with the Father and the Holy Spirit, one God, now and forever.</t>
        </r>
      </text>
    </comment>
    <comment ref="P68" authorId="0" shapeId="0" xr:uid="{00000000-0006-0000-0300-000047010000}">
      <text>
        <r>
          <rPr>
            <sz val="10"/>
            <color rgb="FF000000"/>
            <rFont val="Arial"/>
          </rPr>
          <t>Alleluia! I will send my messenger ahead of you, who will prepare your way before you. Alleluia!</t>
        </r>
      </text>
    </comment>
    <comment ref="R68" authorId="0" shapeId="0" xr:uid="{00000000-0006-0000-0300-000048010000}">
      <text>
        <r>
          <rPr>
            <sz val="10"/>
            <color rgb="FF000000"/>
            <rFont val="Arial"/>
          </rPr>
          <t xml:space="preserve">Expect everything rosy? Easy life?
Life doesn't get easier for Christians. In fact, there are a lot of burdens that Christians carry that other people don't carry. (Kids, culture, the lost.)
Expect what was promised: healing, forgiveness, comfort, hope, eternal life.
</t>
        </r>
      </text>
    </comment>
    <comment ref="S68" authorId="0" shapeId="0" xr:uid="{00000000-0006-0000-0300-000049010000}">
      <text>
        <r>
          <rPr>
            <sz val="10"/>
            <color rgb="FF000000"/>
            <rFont val="Arial"/>
          </rPr>
          <t>When the promised Messiah came, he would do wonderful things to ease the afflictions of his people.</t>
        </r>
      </text>
    </comment>
    <comment ref="T68" authorId="0" shapeId="0" xr:uid="{00000000-0006-0000-0300-00004A010000}">
      <text>
        <r>
          <rPr>
            <sz val="10"/>
            <color rgb="FF000000"/>
            <rFont val="Arial"/>
          </rPr>
          <t>Waiting can be hard, but the Lord gives us patience as we wait for his return.</t>
        </r>
      </text>
    </comment>
    <comment ref="U68" authorId="0" shapeId="0" xr:uid="{00000000-0006-0000-0300-00004B010000}">
      <text>
        <r>
          <rPr>
            <sz val="10"/>
            <color rgb="FF000000"/>
            <rFont val="Arial"/>
          </rPr>
          <t>Jesus taught John the Baptist that he was the fulfillment of everything promised in the Old Testament.</t>
        </r>
      </text>
    </comment>
    <comment ref="N69" authorId="0" shapeId="0" xr:uid="{00000000-0006-0000-0300-00004C010000}">
      <text>
        <r>
          <rPr>
            <sz val="10"/>
            <color rgb="FF000000"/>
            <rFont val="Arial"/>
          </rPr>
          <t>Sayings of Christmas: I'm dreaming of a white Christmas
One story about the famous song "White Christmas" claims that Irving Berlin wrote the song  in 1940 while poolside at the Arizona Biltmore in Phoenix. Here in the Valley of the Sun we don't enjoy Christmas with a layer of snow on the ground.
But we don't have to travel to Flagstaff or Pinetop or other places north to enjoy a white Christmas. When our Christmas is about the birth of our Savior, and we welcome him into our hearts and homes, then every Christmas is a white Christmas.</t>
        </r>
      </text>
    </comment>
    <comment ref="O69" authorId="0" shapeId="0" xr:uid="{00000000-0006-0000-0300-00004D010000}">
      <text>
        <r>
          <rPr>
            <sz val="10"/>
            <color rgb="FF000000"/>
            <rFont val="Arial"/>
          </rPr>
          <t>Hear our prayers, lord Jesus Christ, and come with the good news of your mighty deliverance. Drive the darkness from our hearts and fill us with your light; for you live and reign with the Father and the Holy Spirit, one God, now and forever.</t>
        </r>
      </text>
    </comment>
    <comment ref="N70" authorId="0" shapeId="0" xr:uid="{00000000-0006-0000-0300-00004E010000}">
      <text>
        <r>
          <rPr>
            <sz val="10"/>
            <color rgb="FF000000"/>
            <rFont val="Arial"/>
          </rPr>
          <t>Ready to meet Jesus: Welcome the Son of God!
Over thousands of years of human history many people have come along and founded religions. Their teachings reflect human nature's desire to earn a reward for being good.
When Jesus came into the world he taught and did something completely different. He came from his Father full of grace and truth. He brought salvation as a free gift, and he earned it for us by his death on the cross. When we welcome the baby in Bethlehem we welcome Emmanuel, God with us, God in the flesh. We celebrate Jesus' coming, for he is God who has come to help his people!</t>
        </r>
      </text>
    </comment>
    <comment ref="O70" authorId="0" shapeId="0" xr:uid="{00000000-0006-0000-0300-00004F010000}">
      <text>
        <r>
          <rPr>
            <sz val="10"/>
            <color rgb="FF000000"/>
            <rFont val="Arial"/>
          </rPr>
          <t>Stir up your power, O Lord, and come. Take away the burden of our sins and make us ready for the celebration of your birth, that we may receive you in joy and serve you always; for you live and reign with the Father and the Holy Spirit, one God, now and forever.</t>
        </r>
      </text>
    </comment>
    <comment ref="P70" authorId="0" shapeId="0" xr:uid="{00000000-0006-0000-0300-000050010000}">
      <text>
        <r>
          <rPr>
            <sz val="10"/>
            <color rgb="FF000000"/>
            <rFont val="Arial"/>
          </rPr>
          <t>Alleluia! The virgin will be with child and will give birth to a son, and they will call him Emmanuel. Alleluia!</t>
        </r>
      </text>
    </comment>
    <comment ref="S70" authorId="0" shapeId="0" xr:uid="{00000000-0006-0000-0300-000051010000}">
      <text>
        <r>
          <rPr>
            <sz val="10"/>
            <color rgb="FF000000"/>
            <rFont val="Arial"/>
          </rPr>
          <t xml:space="preserve">The name "Emmanuel" means "God with us." </t>
        </r>
      </text>
    </comment>
    <comment ref="T70" authorId="0" shapeId="0" xr:uid="{00000000-0006-0000-0300-000052010000}">
      <text>
        <r>
          <rPr>
            <sz val="10"/>
            <color rgb="FF000000"/>
            <rFont val="Arial"/>
          </rPr>
          <t>Jesus came with power, and by his resurrection he proved that he is the Son of God.</t>
        </r>
      </text>
    </comment>
    <comment ref="U70" authorId="0" shapeId="0" xr:uid="{00000000-0006-0000-0300-000053010000}">
      <text>
        <r>
          <rPr>
            <sz val="10"/>
            <color rgb="FF000000"/>
            <rFont val="Arial"/>
          </rPr>
          <t>Joseph learned in a dream that the child to be born to Mary was the incarnate God.</t>
        </r>
      </text>
    </comment>
    <comment ref="C71" authorId="0" shapeId="0" xr:uid="{00000000-0006-0000-0300-000054010000}">
      <text>
        <r>
          <rPr>
            <sz val="10"/>
            <color rgb="FF000000"/>
            <rFont val="Arial"/>
          </rPr>
          <t>4:00 p.m. and
6:00 p.m.</t>
        </r>
      </text>
    </comment>
    <comment ref="N71" authorId="0" shapeId="0" xr:uid="{00000000-0006-0000-0300-000055010000}">
      <text>
        <r>
          <rPr>
            <sz val="10"/>
            <color rgb="FF000000"/>
            <rFont val="Arial"/>
          </rPr>
          <t>This bulletin is produced by the school office.</t>
        </r>
      </text>
    </comment>
    <comment ref="O71" authorId="0" shapeId="0" xr:uid="{00000000-0006-0000-0300-000056010000}">
      <text>
        <r>
          <rPr>
            <sz val="10"/>
            <color rgb="FF000000"/>
            <rFont val="Arial"/>
          </rPr>
          <t>Stir up your power, O Lord, and come. Take away the burden of our sins and make us ready for the celebration of your birth, that we may receive you in joy and serve you always; for you live and reign with the Father and the Holy Spirit, one God, now and forever.</t>
        </r>
      </text>
    </comment>
    <comment ref="N72" authorId="0" shapeId="0" xr:uid="{00000000-0006-0000-0300-000057010000}">
      <text>
        <r>
          <rPr>
            <sz val="10"/>
            <color rgb="FF000000"/>
            <rFont val="Arial"/>
          </rPr>
          <t>Joyful songs of praise!
We've been anticipating this special night with eager expectation. This is the night the heavens opened and the angels sang, "Glory to God in the highest!" This is the night the birth of the Savior was announced to humble shepherds who then shared the good news with great joy. This is the night we join our hearts in thanks and our voices in songs of praise to God for coming to earth to live with us as our brother.
Let all creation join the joyful song: Christ the Savior is born!</t>
        </r>
      </text>
    </comment>
    <comment ref="O72" authorId="0" shapeId="0" xr:uid="{00000000-0006-0000-0300-000058010000}">
      <text>
        <r>
          <rPr>
            <sz val="10"/>
            <color rgb="FF000000"/>
            <rFont val="Arial"/>
          </rPr>
          <t>Almighty God, you made this holy night shine with the brightness of the true light. Grant that as we have known on earth the wonder of that light, we may also behold him in all his glory in the life to come; through your only Son, Jesus Christ our Lord, who lives and reigns with you and the Holy Spirit, one God, now and forever.</t>
        </r>
      </text>
    </comment>
    <comment ref="P72" authorId="0" shapeId="0" xr:uid="{00000000-0006-0000-0300-000059010000}">
      <text>
        <r>
          <rPr>
            <sz val="10"/>
            <color rgb="FF000000"/>
            <rFont val="Arial"/>
          </rPr>
          <t>Alleluia! Today in the town of David a Savior has been born to you; he is Christ the Lord. Alleluia!</t>
        </r>
      </text>
    </comment>
    <comment ref="S72" authorId="0" shapeId="0" xr:uid="{00000000-0006-0000-0300-00005A010000}">
      <text>
        <r>
          <rPr>
            <sz val="10"/>
            <color rgb="FF000000"/>
            <rFont val="Arial"/>
          </rPr>
          <t>The Lord's power and love work salvation through the coming of the Messiah.</t>
        </r>
      </text>
    </comment>
    <comment ref="T72" authorId="0" shapeId="0" xr:uid="{00000000-0006-0000-0300-00005B010000}">
      <text>
        <r>
          <rPr>
            <sz val="10"/>
            <color rgb="FF000000"/>
            <rFont val="Arial"/>
          </rPr>
          <t>God's grace has appeared to all people, calling us from darkness into light.</t>
        </r>
      </text>
    </comment>
    <comment ref="U72" authorId="0" shapeId="0" xr:uid="{00000000-0006-0000-0300-00005C010000}">
      <text>
        <r>
          <rPr>
            <sz val="10"/>
            <color rgb="FF000000"/>
            <rFont val="Arial"/>
          </rPr>
          <t>The angels sang praises to God at the birth of Jesus in Bethlehem.</t>
        </r>
      </text>
    </comment>
    <comment ref="N73" authorId="0" shapeId="0" xr:uid="{00000000-0006-0000-0300-00005D010000}">
      <text>
        <r>
          <rPr>
            <sz val="10"/>
            <color rgb="FF000000"/>
            <rFont val="Arial"/>
          </rPr>
          <t>Love came to earth
[Sidebar verse in margin: John 3:16]
Tonight and tomorrow all around the planet families will gather to exchange gifts of love to one another. These tokens of kindness represent the affections that we have for one another. We love those close to us, and we want them to know they are loved.
At Christmas God gave his greatest gift of love, his dearest treasure to the human race. He wrapped himself in human flesh and was conceived and born to the Virgin Mary. God's gift is the gift of love in the flesh, of forgiveness and salvation, of paradise restored. It is the gift of Jesus the Christ child, wrapped in swaddling clothes and laid in a manger.</t>
        </r>
      </text>
    </comment>
    <comment ref="O73" authorId="0" shapeId="0" xr:uid="{00000000-0006-0000-0300-00005E010000}">
      <text>
        <r>
          <rPr>
            <sz val="10"/>
            <color rgb="FF000000"/>
            <rFont val="Arial"/>
          </rPr>
          <t>Almighty God, you made this holy night shine with the brightness of the true light. Grant that as we have known on earth the wonder of that light, we may also behold him in all his glory in the life to come; through your only Son, Jesus Christ our Lord, who lives and reigns with you and the Holy Spirit, one God, now and forever.</t>
        </r>
      </text>
    </comment>
    <comment ref="P73" authorId="0" shapeId="0" xr:uid="{00000000-0006-0000-0300-00005F010000}">
      <text>
        <r>
          <rPr>
            <sz val="10"/>
            <color rgb="FF000000"/>
            <rFont val="Arial"/>
          </rPr>
          <t>Alleluia! Today in the town of David a Savior has been born to you; he is Christ the Lord. Alleluia!</t>
        </r>
      </text>
    </comment>
    <comment ref="S73" authorId="0" shapeId="0" xr:uid="{00000000-0006-0000-0300-000060010000}">
      <text>
        <r>
          <rPr>
            <sz val="10"/>
            <color rgb="FF000000"/>
            <rFont val="Arial"/>
          </rPr>
          <t>The Lord's power and love work salvation through the coming of the Messiah.</t>
        </r>
      </text>
    </comment>
    <comment ref="T73" authorId="0" shapeId="0" xr:uid="{00000000-0006-0000-0300-000061010000}">
      <text>
        <r>
          <rPr>
            <sz val="10"/>
            <color rgb="FF000000"/>
            <rFont val="Arial"/>
          </rPr>
          <t>God's grace has appeared to all people, calling us from darkness into light.</t>
        </r>
      </text>
    </comment>
    <comment ref="U73" authorId="0" shapeId="0" xr:uid="{00000000-0006-0000-0300-000062010000}">
      <text>
        <r>
          <rPr>
            <sz val="10"/>
            <color rgb="FF000000"/>
            <rFont val="Arial"/>
          </rPr>
          <t>The angels sang praises to God at the birth of Jesus in Bethlehem.</t>
        </r>
      </text>
    </comment>
    <comment ref="N74" authorId="0" shapeId="0" xr:uid="{00000000-0006-0000-0300-000063010000}">
      <text>
        <r>
          <rPr>
            <sz val="10"/>
            <color rgb="FF000000"/>
            <rFont val="Arial"/>
          </rPr>
          <t>Every good desire of your heart
Did you get everything you asked for this Christmas? Could you check off everything on your list as you unwrapped your presents under the tree? Chances are, when your Christmas celebration is over, you might still have a few things you wanted but didn't get.
God loves to lavish us with his gifts. They're not always what we have on our list, but they are definitely the best gifts we could possibly receive. God already showed his love with his greatest gift of Christ at Christmas. If he has given us his Son, how will he not also, along with us, graciously give us all things?</t>
        </r>
      </text>
    </comment>
    <comment ref="O74" authorId="0" shapeId="0" xr:uid="{00000000-0006-0000-0300-000064010000}">
      <text>
        <r>
          <rPr>
            <sz val="10"/>
            <color rgb="FF000000"/>
            <rFont val="Arial"/>
          </rPr>
          <t>Almighty God, grant that the birth of your only Son in the flesh may set us free from our old bondage under the yoke of sin; through Jesus Christ our Lord, who lives and reigns with you and the Holy spirit, one God, now and forever.</t>
        </r>
      </text>
    </comment>
    <comment ref="P74" authorId="0" shapeId="0" xr:uid="{00000000-0006-0000-0300-000065010000}">
      <text>
        <r>
          <rPr>
            <sz val="10"/>
            <color rgb="FF000000"/>
            <rFont val="Arial"/>
          </rPr>
          <t>Alleluia! When the time had fully come, God sent his Son, born of a woman, born under law, to redeem those under law. Alleluia!</t>
        </r>
      </text>
    </comment>
    <comment ref="S74" authorId="0" shapeId="0" xr:uid="{00000000-0006-0000-0300-000066010000}">
      <text>
        <r>
          <rPr>
            <sz val="10"/>
            <color rgb="FF000000"/>
            <rFont val="Arial"/>
          </rPr>
          <t>How beautiful are the feet of those who bring good news, who proclaim salvation!</t>
        </r>
      </text>
    </comment>
    <comment ref="T74" authorId="0" shapeId="0" xr:uid="{00000000-0006-0000-0300-000067010000}">
      <text>
        <r>
          <rPr>
            <sz val="10"/>
            <color rgb="FF000000"/>
            <rFont val="Arial"/>
          </rPr>
          <t>In the past God spoke to our fathers through the prophets, but in these last days he has spoken to us through his Son, the radiance of his glory.</t>
        </r>
      </text>
    </comment>
    <comment ref="U74" authorId="0" shapeId="0" xr:uid="{00000000-0006-0000-0300-000068010000}">
      <text>
        <r>
          <rPr>
            <sz val="10"/>
            <color rgb="FF000000"/>
            <rFont val="Arial"/>
          </rPr>
          <t>The Word became flesh and made his dwelling among us.</t>
        </r>
      </text>
    </comment>
    <comment ref="N75" authorId="0" shapeId="0" xr:uid="{00000000-0006-0000-0300-000069010000}">
      <text>
        <r>
          <rPr>
            <sz val="10"/>
            <color rgb="FF000000"/>
            <rFont val="Arial"/>
          </rPr>
          <t>Taking inventory
It's inventory time. Retailers are counting up their seasonal sales. Merchandise is being counted, and shelves are being restocked. It's time to plan for a new year. 
We're taking inventory, too, but it's not just financial. We're stepping on the scale to assess the holiday damage. We're examining our behavior to fight off pet sins that have become our comfortable companions, and we're assessing where we can make changes in areas where God can strengthen our walk with Jesus.
A personal inventory tonight reminds us that material things are here and gone, but eternal things remain our priceless possessions forever.</t>
        </r>
      </text>
    </comment>
    <comment ref="O75" authorId="0" shapeId="0" xr:uid="{00000000-0006-0000-0300-00006A010000}">
      <text>
        <r>
          <rPr>
            <sz val="10"/>
            <color rgb="FF000000"/>
            <rFont val="Arial"/>
          </rPr>
          <t>Eternal Father, before whom all generations rise and fall, teach us to think earnestly on the brevity of our lives and on the immensity of your goodness. Help us to enter the new year trusting in the name of your Son and walking in the way of his peace; through Jesus Christ our Lord, who lives and reigns with you and the Holy Spirit, one God, now and forever.</t>
        </r>
      </text>
    </comment>
    <comment ref="P75" authorId="0" shapeId="0" xr:uid="{00000000-0006-0000-0300-00006B010000}">
      <text>
        <r>
          <rPr>
            <sz val="10"/>
            <color rgb="FF000000"/>
            <rFont val="Arial"/>
          </rPr>
          <t>Alleluia! Your word is a lamp to my feet and a light for my path. Alleluia!</t>
        </r>
      </text>
    </comment>
    <comment ref="R75" authorId="0" shapeId="0" xr:uid="{00000000-0006-0000-0300-00006C010000}">
      <text>
        <r>
          <rPr>
            <sz val="10"/>
            <color rgb="FF000000"/>
            <rFont val="Arial"/>
          </rPr>
          <t>Putting off the old Adam (which desires the things of this world) and its desires and putting on the new self (which desires the will of God)</t>
        </r>
      </text>
    </comment>
    <comment ref="S75" authorId="0" shapeId="0" xr:uid="{00000000-0006-0000-0300-00006D010000}">
      <text>
        <r>
          <rPr>
            <sz val="10"/>
            <color rgb="FF000000"/>
            <rFont val="Arial"/>
          </rPr>
          <t>God places his Name upon his people and showers them with his blessings.</t>
        </r>
      </text>
    </comment>
    <comment ref="T75" authorId="0" shapeId="0" xr:uid="{00000000-0006-0000-0300-00006E010000}">
      <text>
        <r>
          <rPr>
            <sz val="10"/>
            <color rgb="FF000000"/>
            <rFont val="Arial"/>
          </rPr>
          <t>As we enter the New Year we do so under the grace of God, walking with his Spirit, producing the fruit of righteousness.</t>
        </r>
      </text>
    </comment>
    <comment ref="U75" authorId="0" shapeId="0" xr:uid="{00000000-0006-0000-0300-00006F010000}">
      <text>
        <r>
          <rPr>
            <sz val="10"/>
            <color rgb="FF000000"/>
            <rFont val="Arial"/>
          </rPr>
          <t>Why worry about material and physical things? God provides everything we need for both body and soul.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M2" authorId="0" shapeId="0" xr:uid="{00000000-0006-0000-0400-000001000000}">
      <text>
        <r>
          <rPr>
            <sz val="10"/>
            <color rgb="FF000000"/>
            <rFont val="Arial"/>
          </rPr>
          <t>Come, Follow Me: The Savior of the Nations
The Son of God who has come into the world calls us to follow him. During the Epiphany season, we learn about that call to follow and about him who gives it. On this Epiphany day, we see that the one who calls us is the Savior of all nations. His rule is not bound by time or space. Rather, people from every era and every nation will worship him as their Savior.</t>
        </r>
      </text>
    </comment>
    <comment ref="N2" authorId="0" shapeId="0" xr:uid="{00000000-0006-0000-0400-000002000000}">
      <text>
        <r>
          <rPr>
            <sz val="10"/>
            <color rgb="FF000000"/>
            <rFont val="Arial"/>
          </rPr>
          <t>Lord God, by the leading of a star you once made known to the nations your one and only Son. Guide us, also, who know him now by faith, to come at last to the perfect joy of your heavenly glory; through Jesus Christ our Lord, who lives and reigns with you and the Holy Spirit, one God, now and forever.</t>
        </r>
      </text>
    </comment>
    <comment ref="O2" authorId="0" shapeId="0" xr:uid="{00000000-0006-0000-0400-000003000000}">
      <text>
        <r>
          <rPr>
            <sz val="10"/>
            <color rgb="FF000000"/>
            <rFont val="Arial"/>
          </rPr>
          <t>Alleluia. We saw his star in the east and have come to worship him. Alleluia.</t>
        </r>
      </text>
    </comment>
    <comment ref="R2" authorId="0" shapeId="0" xr:uid="{00000000-0006-0000-0400-000004000000}">
      <text>
        <r>
          <rPr>
            <sz val="10"/>
            <color rgb="FF000000"/>
            <rFont val="Arial"/>
          </rPr>
          <t>The town of Bethlehem is prophesied as the place where Israel's ruler will be born.</t>
        </r>
      </text>
    </comment>
    <comment ref="S2" authorId="0" shapeId="0" xr:uid="{00000000-0006-0000-0400-000005000000}">
      <text>
        <r>
          <rPr>
            <sz val="10"/>
            <color rgb="FF000000"/>
            <rFont val="Arial"/>
          </rPr>
          <t>Jesus was made complete through trial and testing. Though he was tempted in every way, he remained without sin.</t>
        </r>
      </text>
    </comment>
    <comment ref="T2" authorId="0" shapeId="0" xr:uid="{00000000-0006-0000-0400-000006000000}">
      <text>
        <r>
          <rPr>
            <sz val="10"/>
            <color rgb="FF000000"/>
            <rFont val="Arial"/>
          </rPr>
          <t>People then, as now, were divided about whether Jesus is the Christ of God.</t>
        </r>
      </text>
    </comment>
    <comment ref="M3" authorId="0" shapeId="0" xr:uid="{00000000-0006-0000-0400-000007000000}">
      <text>
        <r>
          <rPr>
            <sz val="10"/>
            <color rgb="FF000000"/>
            <rFont val="Arial"/>
          </rPr>
          <t>Come, Follow Me: The Lord's Anointed
The Son of God who has come into the world calls us to follow him. During the Epiphany season, we learn about that call to follow and about him who gives it. Today we learn about him through his baptism. He is the one God-man, chosen from before creation to be the world's Savior. Because God has joined us to him at our baptism, we can be confident of our salvation.</t>
        </r>
      </text>
    </comment>
    <comment ref="N3" authorId="0" shapeId="0" xr:uid="{00000000-0006-0000-0400-000008000000}">
      <text>
        <r>
          <rPr>
            <sz val="10"/>
            <color rgb="FF000000"/>
            <rFont val="Arial"/>
          </rPr>
          <t>Father in heaven, at the baptism of Jesus in the River Jordan you proclaimed him your beloved Son and anointed him with the Holy Spirit. Keep us who are baptized into Christ faithful in our calling as your children and make us heirs with him of everlasting life; through your Son, Jesus Christ our Lord, who lives and reigns with you and the Holy Spirit, one God, now and forever.</t>
        </r>
      </text>
    </comment>
    <comment ref="O3" authorId="0" shapeId="0" xr:uid="{00000000-0006-0000-0400-000009000000}">
      <text>
        <r>
          <rPr>
            <sz val="10"/>
            <color rgb="FF000000"/>
            <rFont val="Arial"/>
          </rPr>
          <t>Alleluia! You are my Son, whom I love; with you I am well pleased. Alleluia!</t>
        </r>
      </text>
    </comment>
    <comment ref="R3" authorId="0" shapeId="0" xr:uid="{00000000-0006-0000-0400-00000A000000}">
      <text>
        <r>
          <rPr>
            <sz val="10"/>
            <color rgb="FF000000"/>
            <rFont val="Arial"/>
          </rPr>
          <t>God's chosen servant brings salvation to Israel and to the ends of the earth.</t>
        </r>
      </text>
    </comment>
    <comment ref="S3" authorId="0" shapeId="0" xr:uid="{00000000-0006-0000-0400-00000B000000}">
      <text>
        <r>
          <rPr>
            <sz val="10"/>
            <color rgb="FF000000"/>
            <rFont val="Arial"/>
          </rPr>
          <t>We are joined to God's Anointed One at our baptism.</t>
        </r>
      </text>
    </comment>
    <comment ref="T3" authorId="0" shapeId="0" xr:uid="{00000000-0006-0000-0400-00000C000000}">
      <text>
        <r>
          <rPr>
            <sz val="10"/>
            <color rgb="FF000000"/>
            <rFont val="Arial"/>
          </rPr>
          <t>Jesus is shown to be the Lord's Anointed One at his baptism.</t>
        </r>
      </text>
    </comment>
    <comment ref="M4" authorId="0" shapeId="0" xr:uid="{00000000-0006-0000-0400-00000D000000}">
      <text>
        <r>
          <rPr>
            <sz val="10"/>
            <color rgb="FF000000"/>
            <rFont val="Arial"/>
          </rPr>
          <t>Come, Follow Me: My Call Is Effective
The Son of God who has come into the world calls us to follow him. During the Epiphany season, we learn about that call to follow and about him who gives it. Today we see that Jesus' call is effective. His summons to follow him are not empty words but rather have the power to produce what they demand. No other explanation can be given for the faith in our hearts. Through his call, we believe.</t>
        </r>
      </text>
    </comment>
    <comment ref="N4" authorId="0" shapeId="0" xr:uid="{00000000-0006-0000-0400-00000E000000}">
      <text>
        <r>
          <rPr>
            <sz val="10"/>
            <color rgb="FF000000"/>
            <rFont val="Arial"/>
          </rPr>
          <t>Almighty God, you gave your one and only Son to be the light of the world. Grant that your people, illumined by your Word and sacraments, may shine with the radiance of Christ’s glory, that he may be known, worshiped, and believed to the ends of the earth; through Jesus Christ our Lord, who with you and the Holy Spirit lives and reigns, one God, now and forever.</t>
        </r>
      </text>
    </comment>
    <comment ref="O4" authorId="0" shapeId="0" xr:uid="{00000000-0006-0000-0400-00000F000000}">
      <text>
        <r>
          <rPr>
            <sz val="10"/>
            <color rgb="FF000000"/>
            <rFont val="Arial"/>
          </rPr>
          <t>Alleluia! He said to me, “You are my servant in whom I will display my splendor.” Alleluia!</t>
        </r>
      </text>
    </comment>
    <comment ref="R4" authorId="0" shapeId="0" xr:uid="{00000000-0006-0000-0400-000010000000}">
      <text>
        <r>
          <rPr>
            <sz val="10"/>
            <color rgb="FF000000"/>
            <rFont val="Arial"/>
          </rPr>
          <t>Samuel finally hears the Lord's persistent call to him and responds, "Speak, Lord, for your servant is listening!"</t>
        </r>
      </text>
    </comment>
    <comment ref="S4" authorId="0" shapeId="0" xr:uid="{00000000-0006-0000-0400-000011000000}">
      <text>
        <r>
          <rPr>
            <sz val="10"/>
            <color rgb="FF000000"/>
            <rFont val="Arial"/>
          </rPr>
          <t>Through the gospel, God effectively calls his elect.</t>
        </r>
      </text>
    </comment>
    <comment ref="T4" authorId="0" shapeId="0" xr:uid="{00000000-0006-0000-0400-000012000000}">
      <text>
        <r>
          <rPr>
            <sz val="10"/>
            <color rgb="FF000000"/>
            <rFont val="Arial"/>
          </rPr>
          <t>Jesus demonstrates that he is the one to be followed.</t>
        </r>
      </text>
    </comment>
    <comment ref="M5" authorId="0" shapeId="0" xr:uid="{00000000-0006-0000-0400-000013000000}">
      <text>
        <r>
          <rPr>
            <sz val="10"/>
            <color rgb="FF000000"/>
            <rFont val="Arial"/>
          </rPr>
          <t>Come, Follow Me: My Call Is Unexpected
The Son of God who has come into the world calls us to follow him. During the Epiphany season, we learn about that call to follow and about him who gives it. Today we see that Jesus' call doesn't come only to the best and the brightest. In fact, the opposite is often the case. Jesus calls those we would least expect. This gives us great comfort and hope when we doubt our own worthiness to hear and answer his call.</t>
        </r>
      </text>
    </comment>
    <comment ref="N5" authorId="0" shapeId="0" xr:uid="{00000000-0006-0000-0400-000014000000}">
      <text>
        <r>
          <rPr>
            <sz val="10"/>
            <color rgb="FF000000"/>
            <rFont val="Arial"/>
          </rPr>
          <t>Almighty God, you sent your Son to proclaim your kingdom and to teach with authority. Anoint us with the power of your Spirit that we, too, may bring good news to the afflicted, bind up the brokenhearted, and proclaim liberty to the captive; through Jesus Christ, your Son, our Lord, who lives and reigns with you and the Holy Spirit, one God, now and forever.</t>
        </r>
      </text>
    </comment>
    <comment ref="O5" authorId="0" shapeId="0" xr:uid="{00000000-0006-0000-0400-000015000000}">
      <text>
        <r>
          <rPr>
            <sz val="10"/>
            <color rgb="FF000000"/>
            <rFont val="Arial"/>
          </rPr>
          <t>Alleluia! Jesus went throughout Galilee, teaching, preaching, and healing every disease. Alleluia!</t>
        </r>
      </text>
    </comment>
    <comment ref="R5" authorId="0" shapeId="0" xr:uid="{00000000-0006-0000-0400-000016000000}">
      <text>
        <r>
          <rPr>
            <sz val="10"/>
            <color rgb="FF000000"/>
            <rFont val="Arial"/>
          </rPr>
          <t>The Lord again calls Jonah, the reluctant prophet.</t>
        </r>
      </text>
    </comment>
    <comment ref="S5" authorId="0" shapeId="0" xr:uid="{00000000-0006-0000-0400-000017000000}">
      <text>
        <r>
          <rPr>
            <sz val="10"/>
            <color rgb="FF000000"/>
            <rFont val="Arial"/>
          </rPr>
          <t>The Holy Spirit calls Saul, formerly a persecutor of Christ, to be an apostle for Christ.</t>
        </r>
      </text>
    </comment>
    <comment ref="T5" authorId="0" shapeId="0" xr:uid="{00000000-0006-0000-0400-000018000000}">
      <text>
        <r>
          <rPr>
            <sz val="10"/>
            <color rgb="FF000000"/>
            <rFont val="Arial"/>
          </rPr>
          <t>Jesus calls fishermen as his first disciples.</t>
        </r>
      </text>
    </comment>
    <comment ref="M6" authorId="0" shapeId="0" xr:uid="{00000000-0006-0000-0400-000019000000}">
      <text>
        <r>
          <rPr>
            <sz val="10"/>
            <color rgb="FF000000"/>
            <rFont val="Arial"/>
          </rPr>
          <t>Come, Follow Me: My Word Has Power
The Son of God who has come into the world calls us to follow him. As Jesus calls us to follow him and listen to his voice, we can be sure that his words have power. He is God's last and greatest prophet. His words have the power to drive the devil from our hearts and produce abundant fruit in our lives.</t>
        </r>
      </text>
    </comment>
    <comment ref="N6" authorId="0" shapeId="0" xr:uid="{00000000-0006-0000-0400-00001A000000}">
      <text>
        <r>
          <rPr>
            <sz val="10"/>
            <color rgb="FF000000"/>
            <rFont val="Arial"/>
          </rPr>
          <t>Lord God, you know that we are surrounded by many dangers and that we often stumble and fall. Strengthen us in body and mind, and bring us safely through all temptations; through Jesus Christ, your Son, our Lord, who lives and reigns with you and the Holy Spirit, one God, now and forever.</t>
        </r>
      </text>
    </comment>
    <comment ref="O6" authorId="0" shapeId="0" xr:uid="{00000000-0006-0000-0400-00001B000000}">
      <text>
        <r>
          <rPr>
            <sz val="10"/>
            <color rgb="FF000000"/>
            <rFont val="Arial"/>
          </rPr>
          <t>Alleluia! The Spirit of the Lord is on me; he has anointed me to preach good news. Alleluia!</t>
        </r>
      </text>
    </comment>
    <comment ref="R6" authorId="0" shapeId="0" xr:uid="{00000000-0006-0000-0400-00001C000000}">
      <text>
        <r>
          <rPr>
            <sz val="10"/>
            <color rgb="FF000000"/>
            <rFont val="Arial"/>
          </rPr>
          <t>Moses was a powerful prophet, but one more powerful than he is coming: the Christ, prophesied of old.</t>
        </r>
      </text>
    </comment>
    <comment ref="S6" authorId="0" shapeId="0" xr:uid="{00000000-0006-0000-0400-00001D000000}">
      <text>
        <r>
          <rPr>
            <sz val="10"/>
            <color rgb="FF000000"/>
            <rFont val="Arial"/>
          </rPr>
          <t>There are some things that Scripture has neither commanded nor forbidden. In such things, we are governed by Christian love for our neighbor.</t>
        </r>
      </text>
    </comment>
    <comment ref="T6" authorId="0" shapeId="0" xr:uid="{00000000-0006-0000-0400-00001E000000}">
      <text>
        <r>
          <rPr>
            <sz val="10"/>
            <color rgb="FF000000"/>
            <rFont val="Arial"/>
          </rPr>
          <t>Jesus' words of power performed miraculous signs and taught with authority.</t>
        </r>
      </text>
    </comment>
    <comment ref="M7" authorId="0" shapeId="0" xr:uid="{00000000-0006-0000-0400-00001F000000}">
      <text>
        <r>
          <rPr>
            <sz val="10"/>
            <color rgb="FF000000"/>
            <rFont val="Arial"/>
          </rPr>
          <t>Come, Follow Me: My Call Leads to Glory
The Son of God who has come into the world calls us to follow him. During the Epiphany season, we learn about that call to follow and about him who gives it. Many might expect the call of Jesus to lead to immediate reward. However, the opposite is often the case. Believers struggle under the weight of sin and its curse. However, today Jesus assures us that his call leads to glory. He came to undo sin's curse. Through faith in him, we will be glorified.</t>
        </r>
      </text>
    </comment>
    <comment ref="N7" authorId="0" shapeId="0" xr:uid="{00000000-0006-0000-0400-000020000000}">
      <text>
        <r>
          <rPr>
            <sz val="10"/>
            <color rgb="FF000000"/>
            <rFont val="Arial"/>
          </rPr>
          <t>Almighty God, you sent your one and only Son as the Word of life for our eyes to see and our ears to hear. Help us believe what the Scriptures proclaim about him and do the things that are pleasing in your sight; through Jesus Christ, your Son, our Lord, who lives and reigns with you and the Holy Spirit, one God, now and forever.</t>
        </r>
      </text>
    </comment>
    <comment ref="O7" authorId="0" shapeId="0" xr:uid="{00000000-0006-0000-0400-000021000000}">
      <text>
        <r>
          <rPr>
            <sz val="10"/>
            <color rgb="FF000000"/>
            <rFont val="Arial"/>
          </rPr>
          <t>Alleluia! Jesus said, “I am the light of the world. Whoever follows me will never walk in darkness, but will have the light of life.” Alleluia!</t>
        </r>
      </text>
    </comment>
    <comment ref="R7" authorId="0" shapeId="0" xr:uid="{00000000-0006-0000-0400-000022000000}">
      <text>
        <r>
          <rPr>
            <sz val="10"/>
            <color rgb="FF000000"/>
            <rFont val="Arial"/>
          </rPr>
          <t>The brevity of life reminds us to look beyond this world of suffering and sorrow to the joys of heaven.</t>
        </r>
      </text>
    </comment>
    <comment ref="S7" authorId="0" shapeId="0" xr:uid="{00000000-0006-0000-0400-000023000000}">
      <text>
        <r>
          <rPr>
            <sz val="10"/>
            <color rgb="FF000000"/>
            <rFont val="Arial"/>
          </rPr>
          <t>We want to look out for the needs and preferences of others, not ourselves. This means making concessions and sacrifices for the sake of the gospel.</t>
        </r>
      </text>
    </comment>
    <comment ref="T7" authorId="0" shapeId="0" xr:uid="{00000000-0006-0000-0400-000024000000}">
      <text>
        <r>
          <rPr>
            <sz val="10"/>
            <color rgb="FF000000"/>
            <rFont val="Arial"/>
          </rPr>
          <t>Jesus was compelled by perfect love to preach, teach, and heal wherever he went.</t>
        </r>
      </text>
    </comment>
    <comment ref="M8" authorId="0" shapeId="0" xr:uid="{00000000-0006-0000-0400-000025000000}">
      <text>
        <r>
          <rPr>
            <sz val="10"/>
            <color rgb="FF000000"/>
            <rFont val="Arial"/>
          </rPr>
          <t>Come, Follow Me: The Glory of God Revealed
The Son of God who has come into the world calls us to follow him. During the Epiphany season, we learn about that call to follow and about him who gives it. On this last day of the Epiphany season, we see one more time who this Jesus is. All of God's glory is revealed in him. In his person, God's glory shines in this world. Through his gospel, God's glory shines in our hearts.</t>
        </r>
      </text>
    </comment>
    <comment ref="N8" authorId="0" shapeId="0" xr:uid="{00000000-0006-0000-0400-000026000000}">
      <text>
        <r>
          <rPr>
            <sz val="10"/>
            <color rgb="FF000000"/>
            <rFont val="Arial"/>
          </rPr>
          <t>Lord God, before the suffering and death of your one and only Son, you revealed his glory on the holy mountain. Grant that we who bear his cross on earth may behold by faith the light of his heavenly glory and so be changed into his likeness; through Jesus Christ our Lord, who lives and reigns with you and the Holy Spirit, one God, now and forever.</t>
        </r>
      </text>
    </comment>
    <comment ref="O8" authorId="0" shapeId="0" xr:uid="{00000000-0006-0000-0400-000027000000}">
      <text>
        <r>
          <rPr>
            <sz val="10"/>
            <color rgb="FF000000"/>
            <rFont val="Arial"/>
          </rPr>
          <t>Alleluia! A voice came from the cloud: “This is my Son, whom I love. Listen to him.” Alleluia!</t>
        </r>
      </text>
    </comment>
    <comment ref="M9" authorId="0" shapeId="0" xr:uid="{00000000-0006-0000-0400-000028000000}">
      <text>
        <r>
          <rPr>
            <sz val="10"/>
            <color rgb="FF000000"/>
            <rFont val="Arial"/>
          </rPr>
          <t>Anyone who sins is a slave to sin
Sin drives a wedge between us human beings and our holy God. It enslaves us and keeps us chained, locked away from God's love.
God sets us free from slavery to sin. He gave his Son Jesus into death to cancel the debt of sin, and he gave us his Holy Spirit, so that we could repent of our sins, believe his forgiveness, and be saved. If the Son sets you free, you are free indeed!</t>
        </r>
      </text>
    </comment>
    <comment ref="M10" authorId="0" shapeId="0" xr:uid="{00000000-0006-0000-0400-000029000000}">
      <text>
        <r>
          <rPr>
            <sz val="10"/>
            <color rgb="FF000000"/>
            <rFont val="Arial"/>
          </rPr>
          <t>Learn from the Lamb: An Alternate is Offered
Having been reminded during Epiphany of who Christ is and why we follow him, we are now ready to learn from the Lamb the difficult lessons Lent brings. Today we see that, in order for us to be saved, the Lord had to provide a substitute. In our battle against Satan, we have lost again and again. Thankfully, God's love for us is so great that he did not even spare his Son for us. Thankfully, Christ's perfection is so complete that no charge can be brought against those who are in him.</t>
        </r>
      </text>
    </comment>
    <comment ref="N10" authorId="0" shapeId="0" xr:uid="{00000000-0006-0000-0400-00002A000000}">
      <text>
        <r>
          <rPr>
            <sz val="10"/>
            <color rgb="FF000000"/>
            <rFont val="Arial"/>
          </rPr>
          <t>Lord our strength, the battle of good and evil rages within and around us, and our ancient foe tempts us with his deceits and empty promises. Keep us steadfast in your Word, and when we fall, raise us up again and restore us through your Son, Jesus Christ our Lord, who lives and reigns with you and the Holy Spirit, one God, now and forever.</t>
        </r>
      </text>
    </comment>
    <comment ref="O10" authorId="0" shapeId="0" xr:uid="{00000000-0006-0000-0400-00002B000000}">
      <text>
        <r>
          <rPr>
            <sz val="10"/>
            <color rgb="FF000000"/>
            <rFont val="Arial"/>
          </rPr>
          <t xml:space="preserve">It is written: “Worship the Lord your God, and serve him only.” </t>
        </r>
      </text>
    </comment>
    <comment ref="M14" authorId="0" shapeId="0" xr:uid="{00000000-0006-0000-0400-00002C000000}">
      <text>
        <r>
          <rPr>
            <sz val="10"/>
            <color rgb="FF000000"/>
            <rFont val="Arial"/>
          </rPr>
          <t>Learn from the Lamb: Sin Must Be Condemned
Having been reminded during Epiphany of who Christ is and why we follow him, we are now ready to learn from the Lamb the difficult lessons Lent brings. Today we see that God's love and forgiveness does not mitigate his condemnation of sin. In the 10 Commandments we see his standards of perfection. In Jesus' cleansing of the temple, we see his attitude toward those who defy those commands. Thankfully, God found a way for his love and his law to be reconciled: He condemned sin by condemning his Son.</t>
        </r>
      </text>
    </comment>
    <comment ref="N14" authorId="0" shapeId="0" xr:uid="{00000000-0006-0000-0400-00002D000000}">
      <text>
        <r>
          <rPr>
            <sz val="10"/>
            <color rgb="FF000000"/>
            <rFont val="Arial"/>
          </rPr>
          <t>Almighty God, look with favor on your humble servants and stretch out the right hand of your power to defend us against all our enemies; through Jesus Christ, your Son, our Lord, who lives and reigns with you and the Holy Spirit, one God, now and forever.</t>
        </r>
      </text>
    </comment>
    <comment ref="O14" authorId="0" shapeId="0" xr:uid="{00000000-0006-0000-0400-00002E000000}">
      <text>
        <r>
          <rPr>
            <sz val="10"/>
            <color rgb="FF000000"/>
            <rFont val="Arial"/>
          </rPr>
          <t xml:space="preserve">Just as Moses lifted up the snake in the desert, so the Son of Man must be lifted up, that everyone who believes in him may have eternal life. </t>
        </r>
      </text>
    </comment>
    <comment ref="Q14" authorId="0" shapeId="0" xr:uid="{00000000-0006-0000-0400-00002F000000}">
      <text>
        <r>
          <rPr>
            <sz val="10"/>
            <color rgb="FF000000"/>
            <rFont val="Arial"/>
          </rPr>
          <t>Pastor B's notes: (Eccl: Don't be overreligious. Avoid all extremes. Jesus shows perfect zeal. Might be tempted to view church as a business. Money-making operation. Just about keeping the lights on and the doors open.)</t>
        </r>
      </text>
    </comment>
    <comment ref="M15" authorId="0" shapeId="0" xr:uid="{00000000-0006-0000-0400-000030000000}">
      <text>
        <r>
          <rPr>
            <sz val="10"/>
            <color rgb="FF000000"/>
            <rFont val="Arial"/>
          </rPr>
          <t>One of you will betray me
That statement sent the disciples reeling in shock. Which of them might it be? The betrayer was exposed at the Last Supper, but the Word of the Lord exposes us all. With our sins and betrayals we ourselves sent Jesus to the cross. Yet God was faithful to forgive through the sacrificial death of Jesus.</t>
        </r>
      </text>
    </comment>
    <comment ref="M16" authorId="0" shapeId="0" xr:uid="{00000000-0006-0000-0400-000031000000}">
      <text>
        <r>
          <rPr>
            <sz val="10"/>
            <color rgb="FF000000"/>
            <rFont val="Arial"/>
          </rPr>
          <t>Learn from the Lamb: Forgiveness Comes through Faith
Having been reminded during Epiphany of who Christ is and why we follow him, we are now ready to learn from the Lamb the difficult lessons Lent brings. Today we see that there is just one way to receive God's forgiveness and healing. It cannot come through our obedience to his law. It comes only to those who look in faith to the salvation that he provides. Everyone who believes will live.</t>
        </r>
      </text>
    </comment>
    <comment ref="N16" authorId="0" shapeId="0" xr:uid="{00000000-0006-0000-0400-000032000000}">
      <text>
        <r>
          <rPr>
            <sz val="10"/>
            <color rgb="FF000000"/>
            <rFont val="Arial"/>
          </rPr>
          <t>Almighty God, we confess that we deserve to be punished for our evil deeds. But we ask you graciously to cleanse us from all sin and to comfort us with your salvation; through your Son, Jesus Christ our Lord, who lives and reigns with you and the Holy Spirit, one God, now and forever.</t>
        </r>
      </text>
    </comment>
    <comment ref="O16" authorId="0" shapeId="0" xr:uid="{00000000-0006-0000-0400-000033000000}">
      <text>
        <r>
          <rPr>
            <sz val="10"/>
            <color rgb="FF000000"/>
            <rFont val="Arial"/>
          </rPr>
          <t xml:space="preserve">For God so loved the world that he gave his one and only Son, that whoever believes in him shall not perish but have eternal life. </t>
        </r>
      </text>
    </comment>
    <comment ref="M17" authorId="0" shapeId="0" xr:uid="{00000000-0006-0000-0400-000034000000}">
      <text>
        <r>
          <rPr>
            <sz val="10"/>
            <color rgb="FF000000"/>
            <rFont val="Arial"/>
          </rPr>
          <t>You will disown me
Peter was so bold, so confident that he could stand in the face of temptation. But when the pressure was on, he caved and disowned his Lord and Master Jesus.
Temptation comes knocking at our door, as well. In the face of our denials and disowning, Jesus looks at us with a deep gaze that speaks love and forgiveness.</t>
        </r>
      </text>
    </comment>
    <comment ref="M18" authorId="0" shapeId="0" xr:uid="{00000000-0006-0000-0400-000035000000}">
      <text>
        <r>
          <rPr>
            <sz val="10"/>
            <color rgb="FF000000"/>
            <rFont val="Arial"/>
          </rPr>
          <t>Learn from the Lamb: There are no shortcuts
Having been reminded during Epiphany of who Christ is and why we follow him, we are now ready to learn from the Lamb the difficult lessons Lent brings. Today we see that Jesus' journey as our Lamb did not have any shortcuts. The only way for him to accomplish our salvation was through suffering and sacrifice. Thankfully, when the time was right, Jesus was willing to obey his Father's plan. As a result, God forgives our wickedness and forgets our sin.</t>
        </r>
      </text>
    </comment>
    <comment ref="N18" authorId="0" shapeId="0" xr:uid="{00000000-0006-0000-0400-000036000000}">
      <text>
        <r>
          <rPr>
            <sz val="10"/>
            <color rgb="FF000000"/>
            <rFont val="Arial"/>
          </rPr>
          <t>Eternal God and Father, help us to remember Jesus, who obeyed your will and bore the cross for our salvation that through his anguish, pain, and death we may receive forgiveness of sins and inherit eternal life; through your Son, Jesus Christ our Lord, who lives and reigns with you and the Holy Spirit, one God, now and forever.</t>
        </r>
      </text>
    </comment>
    <comment ref="O18" authorId="0" shapeId="0" xr:uid="{00000000-0006-0000-0400-000037000000}">
      <text>
        <r>
          <rPr>
            <sz val="10"/>
            <color rgb="FF000000"/>
            <rFont val="Arial"/>
          </rPr>
          <t xml:space="preserve">The Son of Man did not come to be served, but to serve, and to give his life as a ransom for many. </t>
        </r>
      </text>
    </comment>
    <comment ref="M19" authorId="0" shapeId="0" xr:uid="{00000000-0006-0000-0400-000038000000}">
      <text>
        <r>
          <rPr>
            <sz val="10"/>
            <color rgb="FF000000"/>
            <rFont val="Arial"/>
          </rPr>
          <t>If one dies, it produces life for many
A seed that falls to the ground must be split and die before its germ of life can sprout into an abundant harvest. Jesus gave his life for many people, the righteous for the unrighteous, to bring us to God and restore a world of sinners. In Jesus' death there is life for all.</t>
        </r>
      </text>
    </comment>
    <comment ref="M20" authorId="0" shapeId="0" xr:uid="{00000000-0006-0000-0400-000039000000}">
      <text>
        <r>
          <rPr>
            <sz val="10"/>
            <color rgb="FF000000"/>
            <rFont val="Arial"/>
          </rPr>
          <t>Learn from the Lamb: He went willingly
Four days before Passover, Jewish families selected the lamb that they were going to slaughter. You can imagine that if that lamb knew what was in store for him, he would fight, kick, and scream. Anyone facing certain death would do the same. But not our Savior. On Palm Sunday, he willingly volunteered to be the Lamb of God that takes away the world's sin by riding to the city where he would die.</t>
        </r>
      </text>
    </comment>
    <comment ref="N20" authorId="0" shapeId="0" xr:uid="{00000000-0006-0000-0400-00003A000000}">
      <text>
        <r>
          <rPr>
            <sz val="10"/>
            <color rgb="FF000000"/>
            <rFont val="Arial"/>
          </rPr>
          <t>We praise you, O God, for the great acts of love by which you have redeemed us through your Son, Jesus Christ. As he was acclaimed by those who scattered their garments and branches of palms in his path, so may we always hail him as our King and follow him with perfect confidence; who lives and reigns with you and the Holy Spirit, one God, now and forever.</t>
        </r>
      </text>
    </comment>
    <comment ref="O20" authorId="0" shapeId="0" xr:uid="{00000000-0006-0000-0400-00003B000000}">
      <text>
        <r>
          <rPr>
            <sz val="10"/>
            <color rgb="FF000000"/>
            <rFont val="Arial"/>
          </rPr>
          <t xml:space="preserve">The hour has come for the Son of Man to be glorified. </t>
        </r>
      </text>
    </comment>
    <comment ref="M21" authorId="0" shapeId="0" xr:uid="{00000000-0006-0000-0400-00003C000000}">
      <text>
        <r>
          <rPr>
            <sz val="10"/>
            <color rgb="FF000000"/>
            <rFont val="Arial"/>
          </rPr>
          <t>Every year at the start of spring the Jewish nation celebrated the Passover. The Passover was part of the Old Covenant (the Old Testament), and the sacrifice of the Passover lamb commemorated God’s deliverance of his people from Egypt while looking forward to his ultimate deliverance from sin through the Messiah. 
Now the Messiah had come. Jesus, the Passover Lamb, was ready to make a new sacrifice for the sin of the world and to establish a New Covenant to supersede the old. Tonight he gives us his body and blood, given and poured out for the remission of our sins, his last will and testament for our salvation, a New Covenant of grace to endure to the end of time.</t>
        </r>
      </text>
    </comment>
    <comment ref="R21" authorId="0" shapeId="0" xr:uid="{00000000-0006-0000-0400-00003D000000}">
      <text>
        <r>
          <rPr>
            <sz val="10"/>
            <color rgb="FF000000"/>
            <rFont val="Arial"/>
          </rPr>
          <t>The Passover proclaimed God's great act of love and deliverance: the exodus from Egypt.</t>
        </r>
      </text>
    </comment>
    <comment ref="S21" authorId="0" shapeId="0" xr:uid="{00000000-0006-0000-0400-00003E000000}">
      <text>
        <r>
          <rPr>
            <sz val="10"/>
            <color rgb="FF000000"/>
            <rFont val="Arial"/>
          </rPr>
          <t>Through Holy Communion we are united into one body of Christ through a shared faith in our Savior.</t>
        </r>
      </text>
    </comment>
    <comment ref="J22" authorId="0" shapeId="0" xr:uid="{00000000-0006-0000-0400-00003F000000}">
      <text>
        <r>
          <rPr>
            <sz val="10"/>
            <color rgb="FF000000"/>
            <rFont val="Arial"/>
          </rPr>
          <t>Use Getty's "Power of the Cross" as an anthem or special music in the 1:00 p.m. service, if possible.</t>
        </r>
      </text>
    </comment>
    <comment ref="M22" authorId="0" shapeId="0" xr:uid="{00000000-0006-0000-0400-000040000000}">
      <text>
        <r>
          <rPr>
            <sz val="10"/>
            <color rgb="FF000000"/>
            <rFont val="Arial"/>
          </rPr>
          <t>What is waiting for a human being beyond the pale of death? When death closes in, can a sinner expect a warm welcome from God into heavenly bliss or everlasting shame and God’s unending fury? This is a question that every person must face, for every person must die.
We see in Jesus’ word to the thief on the cross that a person’s eternal destiny hinges neither on the strength of his obedience nor on the heinousness of his crimes but on the grace of God and the merit of Christ. By the power of his cleansing blood, Jesus alone can say to a sinner at the moment of death, “Today you will be with me in paradise.”</t>
        </r>
      </text>
    </comment>
    <comment ref="R22" authorId="0" shapeId="0" xr:uid="{00000000-0006-0000-0400-000041000000}">
      <text>
        <r>
          <rPr>
            <sz val="10"/>
            <color rgb="FF000000"/>
            <rFont val="Arial"/>
          </rPr>
          <t>The suffering servant is disfigured beyond belief, but from his wretched agony comes justification for sinners.</t>
        </r>
      </text>
    </comment>
    <comment ref="S22" authorId="0" shapeId="0" xr:uid="{00000000-0006-0000-0400-000042000000}">
      <text>
        <r>
          <rPr>
            <sz val="10"/>
            <color rgb="FF000000"/>
            <rFont val="Arial"/>
          </rPr>
          <t>Jesus, our great High Priest, intercedes for sinners before the throne of the Father and offers his own blood as the once-for-all sacrifice for sin.</t>
        </r>
      </text>
    </comment>
    <comment ref="T22" authorId="0" shapeId="0" xr:uid="{00000000-0006-0000-0400-000043000000}">
      <text>
        <r>
          <rPr>
            <sz val="10"/>
            <color rgb="FF000000"/>
            <rFont val="Arial"/>
          </rPr>
          <t>With the words "It is finished," Jesus declares his own work to be complete and the sin of the world to be forgiven.</t>
        </r>
      </text>
    </comment>
    <comment ref="M24" authorId="0" shapeId="0" xr:uid="{00000000-0006-0000-0400-000044000000}">
      <text>
        <r>
          <rPr>
            <sz val="10"/>
            <color rgb="FF000000"/>
            <rFont val="Arial"/>
          </rPr>
          <t>Death has been a constant companion in this world since the fall into sin. It is our ultimate enemy, and we are powerless against it. But we have a conquering hero who does battle with death and wins. He is Jesus Christ! He suffers death for us on the cross, and then he defeats death on the third day to render death powerless. Because of Jesus’ victory, we now wait for our own resurrection and the life of the world to come.</t>
        </r>
      </text>
    </comment>
    <comment ref="N24" authorId="0" shapeId="0" xr:uid="{00000000-0006-0000-0400-000045000000}">
      <text>
        <r>
          <rPr>
            <sz val="10"/>
            <color rgb="FF000000"/>
            <rFont val="Arial"/>
          </rPr>
          <t>Almighty God, by the glorious resurrection of your Son Jesus Christ you conquered death and opened the gate to eternal life. Grant that we, who have been raised with him through baptism, may walk in newness of life and ever rejoice in the hope of sharing his glory; through Jesus Christ our Lord, to whom, with you and the Holy Spirit be dominion and praise now and forever.</t>
        </r>
      </text>
    </comment>
    <comment ref="O24" authorId="0" shapeId="0" xr:uid="{00000000-0006-0000-0400-000046000000}">
      <text>
        <r>
          <rPr>
            <sz val="10"/>
            <color rgb="FF000000"/>
            <rFont val="Arial"/>
          </rPr>
          <t>This is the day the Lord has made; let us rejoice and be glad in it.</t>
        </r>
      </text>
    </comment>
    <comment ref="R24" authorId="0" shapeId="0" xr:uid="{00000000-0006-0000-0400-000047000000}">
      <text>
        <r>
          <rPr>
            <sz val="10"/>
            <color rgb="FF000000"/>
            <rFont val="Arial"/>
          </rPr>
          <t>The Lord invites all nations to a celebration of victory, a rich banquet to celebrate removal of the shroud of death.</t>
        </r>
      </text>
    </comment>
    <comment ref="S24" authorId="0" shapeId="0" xr:uid="{00000000-0006-0000-0400-000048000000}">
      <text>
        <r>
          <rPr>
            <sz val="10"/>
            <color rgb="FF000000"/>
            <rFont val="Arial"/>
          </rPr>
          <t>If Christ were not raised, then there is no resurrection for anyone. But Christ has indeed been raised from the dead.</t>
        </r>
      </text>
    </comment>
    <comment ref="T24" authorId="0" shapeId="0" xr:uid="{00000000-0006-0000-0400-000049000000}">
      <text>
        <r>
          <rPr>
            <sz val="10"/>
            <color rgb="FF000000"/>
            <rFont val="Arial"/>
          </rPr>
          <t>The resurrection of our Lord.</t>
        </r>
      </text>
    </comment>
    <comment ref="M25" authorId="0" shapeId="0" xr:uid="{00000000-0006-0000-0400-00004A000000}">
      <text>
        <r>
          <rPr>
            <sz val="10"/>
            <color rgb="FF000000"/>
            <rFont val="Arial"/>
          </rPr>
          <t>From death to life: New life, new purpose
Through his Easter resurrection, Jesus has brought us from death to life. Without Jesus, life is aimless and directionless. We can amass wealth and enjoy life's pleasures, but ultimately we must give it all away. New life in Jesus means new purpose. We live for him, celebrating his blessings, serving and sharing with others, and looking forward to life with Jesus in heaven forever.</t>
        </r>
      </text>
    </comment>
    <comment ref="M26" authorId="0" shapeId="0" xr:uid="{00000000-0006-0000-0400-00004B000000}">
      <text>
        <r>
          <rPr>
            <sz val="10"/>
            <color rgb="FF000000"/>
            <rFont val="Arial"/>
          </rPr>
          <t>From death to life: New life in the power of forgiveness
Through his Easter resurrection, Jesus has brought us from death to life. Salvation is found in no one else but Jesus. With Jesus we enjoy the forgiveness of our sins. We live free from Satan's accusations and from the oppressive burden of guilt. In the name of Jesus we enjoy complete healing and perfect peace.</t>
        </r>
      </text>
    </comment>
    <comment ref="M27" authorId="0" shapeId="0" xr:uid="{00000000-0006-0000-0400-00004C000000}">
      <text>
        <r>
          <rPr>
            <sz val="10"/>
            <color rgb="FF000000"/>
            <rFont val="Arial"/>
          </rPr>
          <t>From death to life: New life in Jesus' flock
Through his Easter resurrection, Jesus has brought us from death to life. We are members of the flock of Christ. We enjoy his care and protection, his guidance and his direction. Life in Christ as members of his flock is something that we cherish and enjoy. It's a life of peace and quiet confidence. It's the best life there is!</t>
        </r>
      </text>
    </comment>
    <comment ref="R27" authorId="0" shapeId="0" xr:uid="{00000000-0006-0000-0400-00004D000000}">
      <text>
        <r>
          <rPr>
            <sz val="10"/>
            <color rgb="FF000000"/>
            <rFont val="Arial"/>
          </rPr>
          <t>Even in the face of persecution, the apostles continue to meet, pray, and testify boldly to the risen Christ.</t>
        </r>
      </text>
    </comment>
    <comment ref="S27" authorId="0" shapeId="0" xr:uid="{00000000-0006-0000-0400-00004E000000}">
      <text>
        <r>
          <rPr>
            <sz val="10"/>
            <color rgb="FF000000"/>
            <rFont val="Arial"/>
          </rPr>
          <t>God pours out his love upon us and calls us his children.</t>
        </r>
      </text>
    </comment>
    <comment ref="T27" authorId="0" shapeId="0" xr:uid="{00000000-0006-0000-0400-00004F000000}">
      <text>
        <r>
          <rPr>
            <sz val="10"/>
            <color rgb="FF000000"/>
            <rFont val="Arial"/>
          </rPr>
          <t>The Good Shepherd cares for his flock and even lays down his life for the sheep.</t>
        </r>
      </text>
    </comment>
    <comment ref="M28" authorId="0" shapeId="0" xr:uid="{00000000-0006-0000-0400-000050000000}">
      <text>
        <r>
          <rPr>
            <sz val="10"/>
            <color rgb="FF000000"/>
            <rFont val="Arial"/>
          </rPr>
          <t>From death to life: New life, new understanding
Through his Easter resurrection, Jesus has brought us from death to life. New life in Jesus means new wisdom and new understanding. Our hearts are no longer darkened by ignorance and sin. The Scriptures, God's holy Word, are no longer a mysterious closed book to us. The Holy Spirit has enlightened our hearts and given us wisdom from above to be able discern the truth and to grasp the profound and wonderful truth of our salvation in Christ.</t>
        </r>
      </text>
    </comment>
    <comment ref="R28" authorId="0" shapeId="0" xr:uid="{00000000-0006-0000-0400-000051000000}">
      <text>
        <r>
          <rPr>
            <sz val="10"/>
            <color rgb="FF000000"/>
            <rFont val="Arial"/>
          </rPr>
          <t>Philip brought the message of Jesus' resurrection to an Ethiopian eunuch and baptized him.</t>
        </r>
      </text>
    </comment>
    <comment ref="S28" authorId="0" shapeId="0" xr:uid="{00000000-0006-0000-0400-000052000000}">
      <text>
        <r>
          <rPr>
            <sz val="10"/>
            <color rgb="FF000000"/>
            <rFont val="Arial"/>
          </rPr>
          <t>Trust in Jesus leads us to love one another.</t>
        </r>
      </text>
    </comment>
    <comment ref="T28" authorId="0" shapeId="0" xr:uid="{00000000-0006-0000-0400-000053000000}">
      <text>
        <r>
          <rPr>
            <sz val="10"/>
            <color rgb="FF000000"/>
            <rFont val="Arial"/>
          </rPr>
          <t>When we are connected to Christ the true vine, we produce much fruit through him.</t>
        </r>
      </text>
    </comment>
    <comment ref="M29" authorId="0" shapeId="0" xr:uid="{00000000-0006-0000-0400-000054000000}">
      <text>
        <r>
          <rPr>
            <sz val="10"/>
            <color rgb="FF000000"/>
            <rFont val="Arial"/>
          </rPr>
          <t>Mother's Day
From death to life: New life in God's love
We welcome all of the Christian mothers worshiping with us today. Whether you are a mother or have a mother, you know the power of God's love reflected in a mother's tender care. Through his Easter resurrection, Jesus has brought us from death to life. In Jesus we now enjoy a new life securely wrapped up in God's love.</t>
        </r>
      </text>
    </comment>
    <comment ref="N29" authorId="0" shapeId="0" xr:uid="{00000000-0006-0000-0400-000055000000}">
      <text>
        <r>
          <rPr>
            <sz val="10"/>
            <color rgb="FF000000"/>
            <rFont val="Arial"/>
          </rPr>
          <t>Father of lights, every good and perfect gift comes from you. Inspire us to think those things that are true and long for those things that are good, that we may always make our petitions according to your gracious will; through your Son, Jesus Christ our Lord, who lives and reigns with you and the Holy Spirit, one God, now and forever.</t>
        </r>
      </text>
    </comment>
    <comment ref="O29" authorId="0" shapeId="0" xr:uid="{00000000-0006-0000-0400-000056000000}">
      <text>
        <r>
          <rPr>
            <sz val="10"/>
            <color rgb="FF000000"/>
            <rFont val="Arial"/>
          </rPr>
          <t xml:space="preserve">Alleluia. Alleluia. Christ is risen! He is risen indeed! Alleluia. If anyone loves me, he will obey my teaching. My Father will love him, and we will come to him and make our home with him. Alleluia. </t>
        </r>
      </text>
    </comment>
    <comment ref="R29" authorId="0" shapeId="0" xr:uid="{00000000-0006-0000-0400-000057000000}">
      <text>
        <r>
          <rPr>
            <sz val="10"/>
            <color rgb="FF000000"/>
            <rFont val="Arial"/>
          </rPr>
          <t>The Christian church grew, and the gospel was preached in Antioch in Syria.</t>
        </r>
      </text>
    </comment>
    <comment ref="S29" authorId="0" shapeId="0" xr:uid="{00000000-0006-0000-0400-000058000000}">
      <text>
        <r>
          <rPr>
            <sz val="10"/>
            <color rgb="FF000000"/>
            <rFont val="Arial"/>
          </rPr>
          <t>Don't believe everything you hear. Test the spirits to be certain they are from God.</t>
        </r>
      </text>
    </comment>
    <comment ref="T29" authorId="0" shapeId="0" xr:uid="{00000000-0006-0000-0400-000059000000}">
      <text>
        <r>
          <rPr>
            <sz val="10"/>
            <color rgb="FF000000"/>
            <rFont val="Arial"/>
          </rPr>
          <t>We reflect Jesus' beautiful love by loving one another.</t>
        </r>
      </text>
    </comment>
    <comment ref="M30" authorId="0" shapeId="0" xr:uid="{00000000-0006-0000-0400-00005A000000}">
      <text>
        <r>
          <rPr>
            <sz val="10"/>
            <color rgb="FF000000"/>
            <rFont val="Arial"/>
          </rPr>
          <t>Confirmation Sunday
From death to life: New life walking in the truth
Through his Easter resurrection, Jesus has brought us from death to life. The world around us is rich in knowledge but comes up short in truth. Satan's lies have captivated the children of the world. Worldly philosophy is foolishness apart from Jesus Christ. In the face of deception, God's clear Word teaches us the truth. The truth guides us through life and prepares us for eternity. This Confirmation Day we join in praying that all of the young men and women who confess their faith and devotion to Jesus Christ will continue to walk in the truth all the days of their life.</t>
        </r>
      </text>
    </comment>
    <comment ref="N30" authorId="0" shapeId="0" xr:uid="{00000000-0006-0000-0400-00005B000000}">
      <text>
        <r>
          <rPr>
            <sz val="10"/>
            <color rgb="FF000000"/>
            <rFont val="Arial"/>
          </rPr>
          <t>Lord Jesus, King of glory, on this day you ascended far above the heavens and at God’s right hand you rule the nations. Leave us not alone, we pray, but grant us the Spirit of truth that at your command and by your power we may be your witnesses in all the world; for you live and reign with the Father and the Holy Spirit, one God, now and forever.</t>
        </r>
      </text>
    </comment>
    <comment ref="O30" authorId="0" shapeId="0" xr:uid="{00000000-0006-0000-0400-00005C000000}">
      <text>
        <r>
          <rPr>
            <sz val="10"/>
            <color rgb="FF000000"/>
            <rFont val="Arial"/>
          </rPr>
          <t xml:space="preserve">Alleluia. Alleluia. Christ is risen! He is risen indeed! Alleluia. Surely I will be with you always, to the very end of the age. Alleluia. </t>
        </r>
      </text>
    </comment>
    <comment ref="R30" authorId="0" shapeId="0" xr:uid="{00000000-0006-0000-0400-00005D000000}">
      <text>
        <r>
          <rPr>
            <sz val="10"/>
            <color rgb="FF000000"/>
            <rFont val="Arial"/>
          </rPr>
          <t>The apostles called upon the Lord to show them whom he had chosen to replace Judas.</t>
        </r>
      </text>
    </comment>
    <comment ref="S30" authorId="0" shapeId="0" xr:uid="{00000000-0006-0000-0400-00005E000000}">
      <text>
        <r>
          <rPr>
            <sz val="10"/>
            <color rgb="FF000000"/>
            <rFont val="Arial"/>
          </rPr>
          <t>We know God, because God has given us his Spirit. The Spirit moves us to love God and our brother.</t>
        </r>
      </text>
    </comment>
    <comment ref="T30" authorId="0" shapeId="0" xr:uid="{00000000-0006-0000-0400-00005F000000}">
      <text>
        <r>
          <rPr>
            <sz val="10"/>
            <color rgb="FF000000"/>
            <rFont val="Arial"/>
          </rPr>
          <t>Jesus' believers are in the world but not of the world. We are set apart from the world.</t>
        </r>
      </text>
    </comment>
    <comment ref="M32" authorId="0" shapeId="0" xr:uid="{00000000-0006-0000-0400-000060000000}">
      <text>
        <r>
          <rPr>
            <sz val="10"/>
            <color rgb="FF000000"/>
            <rFont val="Arial"/>
          </rPr>
          <t>Life in the Spirit: Power to Proclaim
The disciples were timid and afraid, hiding behind locked doors. Then a series of powerful events transformed them. They witnessed Jesus risen from the dead. They saw him ascend into heaven. On Pentecost they were filled with the Holy Spirit poured out from above, and from that point forward they testified boldly to what they had seen and heard.</t>
        </r>
      </text>
    </comment>
    <comment ref="N32" authorId="0" shapeId="0" xr:uid="{00000000-0006-0000-0400-000061000000}">
      <text>
        <r>
          <rPr>
            <sz val="10"/>
            <color rgb="FF000000"/>
            <rFont val="Arial"/>
          </rPr>
          <t>Holy Spirit, God and Lord, come to us this joyful day with your sevenfold gift of grace. Rekindle in our hearts the holy fire of your love that in a true and living faith we may tell abroad the glory of our Savior, Jesus Christ, who lives and reigns with you and the Father, one God, now and forever.</t>
        </r>
      </text>
    </comment>
    <comment ref="O32" authorId="0" shapeId="0" xr:uid="{00000000-0006-0000-0400-000062000000}">
      <text>
        <r>
          <rPr>
            <sz val="10"/>
            <color rgb="FF000000"/>
            <rFont val="Arial"/>
          </rPr>
          <t xml:space="preserve">Alleluia. Come, Holy Spirit, fill the hearts of your faithful people, and kindle in them the fire of your love. Alleluia. </t>
        </r>
      </text>
    </comment>
    <comment ref="R32" authorId="0" shapeId="0" xr:uid="{00000000-0006-0000-0400-000063000000}">
      <text>
        <r>
          <rPr>
            <sz val="10"/>
            <color rgb="FF000000"/>
            <rFont val="Arial"/>
          </rPr>
          <t>The bones Ezekiel saw were dry and lifeless until the Word of the Lord was preached to them, and the Spirit of God filled them with life.</t>
        </r>
      </text>
    </comment>
    <comment ref="S32" authorId="0" shapeId="0" xr:uid="{00000000-0006-0000-0400-000064000000}">
      <text>
        <r>
          <rPr>
            <sz val="10"/>
            <color rgb="FF000000"/>
            <rFont val="Arial"/>
          </rPr>
          <t>On the festival of Pentecost the disciples received the gift of the Holy Spirit poured out upon them.</t>
        </r>
      </text>
    </comment>
    <comment ref="T32" authorId="0" shapeId="0" xr:uid="{00000000-0006-0000-0400-000065000000}">
      <text>
        <r>
          <rPr>
            <sz val="10"/>
            <color rgb="FF000000"/>
            <rFont val="Arial"/>
          </rPr>
          <t>Don't be afraid: The Counselor, the Holy Spirit, will lead you into truth.</t>
        </r>
      </text>
    </comment>
    <comment ref="M33" authorId="0" shapeId="0" xr:uid="{00000000-0006-0000-0400-000066000000}">
      <text>
        <r>
          <rPr>
            <sz val="10"/>
            <color rgb="FF000000"/>
            <rFont val="Arial"/>
          </rPr>
          <t>Life in the Spirit: The Spirit makes us children of God
The Triune God has called us through his Spirit to belong to him. The Holy Spirit has caused us to be born again into God's holy family and set us apart from the world. God placed his name on us when we were baptized. In the family of God we have the forgiveness of our sins and the blessings of eternal comfort and peace.</t>
        </r>
      </text>
    </comment>
    <comment ref="N33" authorId="0" shapeId="0" xr:uid="{00000000-0006-0000-0400-000067000000}">
      <text>
        <r>
          <rPr>
            <sz val="10"/>
            <color rgb="FF000000"/>
            <rFont val="Arial"/>
          </rPr>
          <t xml:space="preserve">Almighty God and Father, dwelling in majesty and mystery, filling and renewing all creation by your eternal Spirit, and manifesting your saving grace through our Lord Jesus Christ: in mercy cleanse our hearts and lips that, free from doubt and fear, we may ever worship you, one true immortal God, with your Son and the Holy Spirit, living and reigning, now and forever.
</t>
        </r>
      </text>
    </comment>
    <comment ref="O33" authorId="0" shapeId="0" xr:uid="{00000000-0006-0000-0400-000068000000}">
      <text>
        <r>
          <rPr>
            <sz val="10"/>
            <color rgb="FF000000"/>
            <rFont val="Arial"/>
          </rPr>
          <t xml:space="preserve">Alleluia. Holy, holy, holy is the Lord Almighty; the whole earth is full of his glory. Alleluia. </t>
        </r>
      </text>
    </comment>
    <comment ref="R33" authorId="0" shapeId="0" xr:uid="{00000000-0006-0000-0400-000069000000}">
      <text>
        <r>
          <rPr>
            <sz val="10"/>
            <color rgb="FF000000"/>
            <rFont val="Arial"/>
          </rPr>
          <t>The Lord sends his servant to preach good news to the poor and to proclaim freedom for the captives.</t>
        </r>
      </text>
    </comment>
    <comment ref="S33" authorId="0" shapeId="0" xr:uid="{00000000-0006-0000-0400-00006A000000}">
      <text>
        <r>
          <rPr>
            <sz val="10"/>
            <color rgb="FF000000"/>
            <rFont val="Arial"/>
          </rPr>
          <t>The Spirit testifies that we are God's children, set free from free.</t>
        </r>
      </text>
    </comment>
    <comment ref="T33" authorId="0" shapeId="0" xr:uid="{00000000-0006-0000-0400-00006B000000}">
      <text>
        <r>
          <rPr>
            <sz val="10"/>
            <color rgb="FF000000"/>
            <rFont val="Arial"/>
          </rPr>
          <t>Jesus shares the plan of God's free salvation with Nicodemus.</t>
        </r>
      </text>
    </comment>
    <comment ref="M34" authorId="0" shapeId="0" xr:uid="{00000000-0006-0000-0400-00006C000000}">
      <text>
        <r>
          <rPr>
            <sz val="10"/>
            <color rgb="FF000000"/>
            <rFont val="Arial"/>
          </rPr>
          <t>Life in the Spirit: Jesus' life is revealed in our body
In the eyes of the world, a Christian is an object of ridicule. After all, we believe in the foolishness of the cross! But just as we have been crucified in Christ, we also live with Christ in a new life with our risen Lord and Savior. We have the light of the knowledge of the glory of God in the face of Christ.</t>
        </r>
      </text>
    </comment>
    <comment ref="N34" authorId="0" shapeId="0" xr:uid="{00000000-0006-0000-0400-00006D000000}">
      <text>
        <r>
          <rPr>
            <sz val="10"/>
            <color rgb="FF000000"/>
            <rFont val="Arial"/>
          </rPr>
          <t>O God, you rule over all things in wisdom and kindness. Take away everything that may be harmful and give us whatever is good; through your Son, Jesus Christ our Lord, who lives and reigns with you and the Holy Spirit, one God, now and forever.</t>
        </r>
      </text>
    </comment>
    <comment ref="O34" authorId="0" shapeId="0" xr:uid="{00000000-0006-0000-0400-00006E000000}">
      <text>
        <r>
          <rPr>
            <sz val="10"/>
            <color rgb="FF000000"/>
            <rFont val="Arial"/>
          </rPr>
          <t xml:space="preserve">Alleluia. Your word is a lamp to my feet and light for my path. Alleluia. </t>
        </r>
      </text>
    </comment>
    <comment ref="R34" authorId="0" shapeId="0" xr:uid="{00000000-0006-0000-0400-00006F000000}">
      <text>
        <r>
          <rPr>
            <sz val="10"/>
            <color rgb="FF000000"/>
            <rFont val="Arial"/>
          </rPr>
          <t>As we live in the Spirit, the Lord calls us to worship him. The Old Testament Israelites did this on the seventh day, the Sabbath.</t>
        </r>
      </text>
    </comment>
    <comment ref="S34" authorId="0" shapeId="0" xr:uid="{00000000-0006-0000-0400-000070000000}">
      <text>
        <r>
          <rPr>
            <sz val="10"/>
            <color rgb="FF000000"/>
            <rFont val="Arial"/>
          </rPr>
          <t>God has placed his gospel into us, frail vessels of clay, to show that the all-surpassing glory is from him and not from us.</t>
        </r>
      </text>
    </comment>
    <comment ref="T34" authorId="0" shapeId="0" xr:uid="{00000000-0006-0000-0400-000071000000}">
      <text>
        <r>
          <rPr>
            <sz val="10"/>
            <color rgb="FF000000"/>
            <rFont val="Arial"/>
          </rPr>
          <t>Jesus is Lord of the Sabbath.</t>
        </r>
      </text>
    </comment>
    <comment ref="M35" authorId="0" shapeId="0" xr:uid="{00000000-0006-0000-0400-000072000000}">
      <text>
        <r>
          <rPr>
            <sz val="10"/>
            <color rgb="FF000000"/>
            <rFont val="Arial"/>
          </rPr>
          <t>Life in the Spirit: We fix our eyes on what is unseen
Many today promise material wealth and prosperity in this world. While God can and does give those blessings, those aren't things that he promises. The person who builds only on those things is unprepared for life's troubles. But our service today reminds us that our light and momentary troubles are achieving for us an eternal glory that far outweighs them all.</t>
        </r>
      </text>
    </comment>
    <comment ref="N35" authorId="0" shapeId="0" xr:uid="{00000000-0006-0000-0400-000073000000}">
      <text>
        <r>
          <rPr>
            <sz val="10"/>
            <color rgb="FF000000"/>
            <rFont val="Arial"/>
          </rPr>
          <t>O God, the strength of all who trust in you, mercifully hear our prayers. Be gracious to us in our weakness and give us strength to keep your commandments in all we say and do; through Jesus Christ, your Son, our Lord, who lives and reigns with you and the Holy Spirit, one God, now and forever.</t>
        </r>
      </text>
    </comment>
    <comment ref="O35" authorId="0" shapeId="0" xr:uid="{00000000-0006-0000-0400-000074000000}">
      <text>
        <r>
          <rPr>
            <sz val="10"/>
            <color rgb="FF000000"/>
            <rFont val="Arial"/>
          </rPr>
          <t xml:space="preserve">Alleluia. God was in Christ reconciling the world to himself, and entrusting to us the message of reconciliation. Alleluia. </t>
        </r>
      </text>
    </comment>
    <comment ref="R35" authorId="0" shapeId="0" xr:uid="{00000000-0006-0000-0400-000075000000}">
      <text>
        <r>
          <rPr>
            <sz val="10"/>
            <color rgb="FF000000"/>
            <rFont val="Arial"/>
          </rPr>
          <t>Adam and Eve's disobedience plunged them and their descendants into death and darkness. But God promised to send the seed of the woman to crush the serpent's head.</t>
        </r>
      </text>
    </comment>
    <comment ref="S35" authorId="0" shapeId="0" xr:uid="{00000000-0006-0000-0400-000076000000}">
      <text>
        <r>
          <rPr>
            <sz val="10"/>
            <color rgb="FF000000"/>
            <rFont val="Arial"/>
          </rPr>
          <t>We fix our eyes on things that are unseen and eternal.</t>
        </r>
      </text>
    </comment>
    <comment ref="T35" authorId="0" shapeId="0" xr:uid="{00000000-0006-0000-0400-000077000000}">
      <text>
        <r>
          <rPr>
            <sz val="10"/>
            <color rgb="FF000000"/>
            <rFont val="Arial"/>
          </rPr>
          <t>Jesus warns us against blaspheming the Holy Spirit and says the members of his family are those who do his will.</t>
        </r>
      </text>
    </comment>
    <comment ref="M36" authorId="0" shapeId="0" xr:uid="{00000000-0006-0000-0400-000078000000}">
      <text>
        <r>
          <rPr>
            <sz val="10"/>
            <color rgb="FF000000"/>
            <rFont val="Arial"/>
          </rPr>
          <t>Life in the Spirit: We long to be with the Lord
The Spirit is God's deposit to us, guaranteeing our place in heaven. Meanwhile, we go through this life as strangers and pilgrims, looking forward to our heavenly home. Here we live by faith. Then we shall see the Lord.</t>
        </r>
      </text>
    </comment>
    <comment ref="N36" authorId="0" shapeId="0" xr:uid="{00000000-0006-0000-0400-000079000000}">
      <text>
        <r>
          <rPr>
            <sz val="10"/>
            <color rgb="FF000000"/>
            <rFont val="Arial"/>
          </rPr>
          <t xml:space="preserve">O God, protector of all the faithful, you alone make strong; you alone make holy. Show us your mercy and forgive our sins day by day. Guide us through our earthly lives that we do not lose the things you have prepared for us in heaven; through Jesus Christ our Lord, who lives and reigns with you and the Holy Spirit, one God, now and forever.
</t>
        </r>
      </text>
    </comment>
    <comment ref="O36" authorId="0" shapeId="0" xr:uid="{00000000-0006-0000-0400-00007A000000}">
      <text>
        <r>
          <rPr>
            <sz val="10"/>
            <color rgb="FF000000"/>
            <rFont val="Arial"/>
          </rPr>
          <t xml:space="preserve">Alleluia. May your priests be clothed with righteousness; may your saints sing for joy. Alleluia. </t>
        </r>
      </text>
    </comment>
    <comment ref="R36" authorId="0" shapeId="0" xr:uid="{00000000-0006-0000-0400-00007B000000}">
      <text>
        <r>
          <rPr>
            <sz val="10"/>
            <color rgb="FF000000"/>
            <rFont val="Arial"/>
          </rPr>
          <t>God promises to restore the house of Israel and bring his people back from exile.</t>
        </r>
      </text>
    </comment>
    <comment ref="S36" authorId="0" shapeId="0" xr:uid="{00000000-0006-0000-0400-00007C000000}">
      <text>
        <r>
          <rPr>
            <sz val="10"/>
            <color rgb="FF000000"/>
            <rFont val="Arial"/>
          </rPr>
          <t>We long to be clothed with our heavenly dwelling and be with Christ forever.</t>
        </r>
      </text>
    </comment>
    <comment ref="T36" authorId="0" shapeId="0" xr:uid="{00000000-0006-0000-0400-00007D000000}">
      <text>
        <r>
          <rPr>
            <sz val="10"/>
            <color rgb="FF000000"/>
            <rFont val="Arial"/>
          </rPr>
          <t>The kingdom of God is like a small seed, but God causes it to grow large and strong, as he wills.</t>
        </r>
      </text>
    </comment>
    <comment ref="M37" authorId="0" shapeId="0" xr:uid="{00000000-0006-0000-0400-00007E000000}">
      <text>
        <r>
          <rPr>
            <sz val="10"/>
            <color rgb="FF000000"/>
            <rFont val="Arial"/>
          </rPr>
          <t>Life in the Spirit: Reconciled with God
Through Jesus our relationship with God has changed completely. Whereas we were once God's enemies, now Jesus has made peace between us and God through his blood. He has removed our sins and given us direct access to the Father. Now it is our privilege to share the message of reconciliation.</t>
        </r>
      </text>
    </comment>
    <comment ref="N37" authorId="0" shapeId="0" xr:uid="{00000000-0006-0000-0400-00007F000000}">
      <text>
        <r>
          <rPr>
            <sz val="10"/>
            <color rgb="FF000000"/>
            <rFont val="Arial"/>
          </rPr>
          <t>O Lord, our God, govern the nations on earth and direct the affairs of this world so that your Church may worship you in peace and joy; through your Son, Jesus Christ our Lord, who lives and reigns with you and the Holy Spirit, one God, now and forever.</t>
        </r>
      </text>
    </comment>
    <comment ref="O37" authorId="0" shapeId="0" xr:uid="{00000000-0006-0000-0400-000080000000}">
      <text>
        <r>
          <rPr>
            <sz val="10"/>
            <color rgb="FF000000"/>
            <rFont val="Arial"/>
          </rPr>
          <t xml:space="preserve">Alleluia. Because we are his children, God has sent the Spirit of his Son into our hearts, crying, “Abba! Father!” Alleluia. </t>
        </r>
      </text>
    </comment>
    <comment ref="R37" authorId="0" shapeId="0" xr:uid="{00000000-0006-0000-0400-000081000000}">
      <text>
        <r>
          <rPr>
            <sz val="10"/>
            <color rgb="FF000000"/>
            <rFont val="Arial"/>
          </rPr>
          <t>God challenges Job, who has become self-righteous in his own eyes, to brace himself and answer God's questions.</t>
        </r>
      </text>
    </comment>
    <comment ref="S37" authorId="0" shapeId="0" xr:uid="{00000000-0006-0000-0400-000082000000}">
      <text>
        <r>
          <rPr>
            <sz val="10"/>
            <color rgb="FF000000"/>
            <rFont val="Arial"/>
          </rPr>
          <t>God has reconciled the world to himself in Christ, and he has committed to us the ministry of reconciliation.</t>
        </r>
      </text>
    </comment>
    <comment ref="T37" authorId="0" shapeId="0" xr:uid="{00000000-0006-0000-0400-000083000000}">
      <text>
        <r>
          <rPr>
            <sz val="10"/>
            <color rgb="FF000000"/>
            <rFont val="Arial"/>
          </rPr>
          <t>Jesus calms the storm and shows that even the wind and waves obey him.</t>
        </r>
      </text>
    </comment>
    <comment ref="M38" authorId="0" shapeId="0" xr:uid="{00000000-0006-0000-0400-000084000000}">
      <text>
        <r>
          <rPr>
            <sz val="10"/>
            <color rgb="FF000000"/>
            <rFont val="Arial"/>
          </rPr>
          <t>Life in the Spirit: We live generously
We have received abundant and generous gifts from our God and Maker. His Spirit has poured out generous gifts of grace into our hearts. Now as we live in him, we live generously toward him and toward others. We know the grace of our Lord Jesus Christ, that though he was rich, yet for our sakes he became poor, so that you through his poverty might become rich.</t>
        </r>
      </text>
    </comment>
    <comment ref="N38" authorId="0" shapeId="0" xr:uid="{00000000-0006-0000-0400-000085000000}">
      <text>
        <r>
          <rPr>
            <sz val="10"/>
            <color rgb="FF000000"/>
            <rFont val="Arial"/>
          </rPr>
          <t>O God, you have prepared joys beyond understanding for those who love you. Pour into our hearts such love for you that, loving you above all things, we may obtain your promises, which exceed all that we can desire; through your Son, Jesus Christ our Lord, who lives and reigns with you and the Holy Spirit, one God, now and forever.</t>
        </r>
      </text>
    </comment>
    <comment ref="O38" authorId="0" shapeId="0" xr:uid="{00000000-0006-0000-0400-000086000000}">
      <text>
        <r>
          <rPr>
            <sz val="10"/>
            <color rgb="FF000000"/>
            <rFont val="Arial"/>
          </rPr>
          <t xml:space="preserve">Alleluia. If anyone would come after me, he must deny himself and take up his cross and follow me. Alleluia. </t>
        </r>
      </text>
    </comment>
    <comment ref="R38" authorId="0" shapeId="0" xr:uid="{00000000-0006-0000-0400-000087000000}">
      <text>
        <r>
          <rPr>
            <sz val="10"/>
            <color rgb="FF000000"/>
            <rFont val="Arial"/>
          </rPr>
          <t>God's mercies are new every morning, and his compassion never fails.</t>
        </r>
      </text>
    </comment>
    <comment ref="S38" authorId="0" shapeId="0" xr:uid="{00000000-0006-0000-0400-000088000000}">
      <text>
        <r>
          <rPr>
            <sz val="10"/>
            <color rgb="FF000000"/>
            <rFont val="Arial"/>
          </rPr>
          <t>We know the grace of our Lord Jesus Christ, that though he was rich, he became poor, so that we might become rich. Now we respond in generous thanksgiving.</t>
        </r>
      </text>
    </comment>
    <comment ref="T38" authorId="0" shapeId="0" xr:uid="{00000000-0006-0000-0400-000089000000}">
      <text>
        <r>
          <rPr>
            <sz val="10"/>
            <color rgb="FF000000"/>
            <rFont val="Arial"/>
          </rPr>
          <t>Jesus shows that he is the Lord of life by raising a little girl from the dead.</t>
        </r>
      </text>
    </comment>
    <comment ref="M39" authorId="0" shapeId="0" xr:uid="{00000000-0006-0000-0400-00008A000000}">
      <text>
        <r>
          <rPr>
            <sz val="10"/>
            <color rgb="FF000000"/>
            <rFont val="Arial"/>
          </rPr>
          <t>Life in the Spirit: Strength in weakness
Even a quick inventory of our lives and bodies reveals how weak we are. Our bodies age and wear out. We are burdened by stress and sorrow.
When we are flat on our backs, the only place to look is up. We look to Jesus for strength in the face of our own weakness, and we trust in him to support and sustain us. This is life in the Spirit!</t>
        </r>
      </text>
    </comment>
    <comment ref="N39" authorId="0" shapeId="0" xr:uid="{00000000-0006-0000-0400-00008B000000}">
      <text>
        <r>
          <rPr>
            <sz val="10"/>
            <color rgb="FF000000"/>
            <rFont val="Arial"/>
          </rPr>
          <t>God of all power and might, you are the giver of all that is good. Help us love you with all our heart, strengthen us in true faith, provide us with all we need, and keep us safe in your care; through Jesus Christ, your Son, our Lord, who lives and reigns with you and the Holy Spirit, one God, now and forever.</t>
        </r>
      </text>
    </comment>
    <comment ref="O39" authorId="0" shapeId="0" xr:uid="{00000000-0006-0000-0400-00008C000000}">
      <text>
        <r>
          <rPr>
            <sz val="10"/>
            <color rgb="FF000000"/>
            <rFont val="Arial"/>
          </rPr>
          <t xml:space="preserve">Alleluia. Happy are they who hear the Word, hold it fast in an honest and good heart, and bring forth fruit with patience. Alleluia. </t>
        </r>
      </text>
    </comment>
    <comment ref="R39" authorId="0" shapeId="0" xr:uid="{00000000-0006-0000-0400-00008D000000}">
      <text>
        <r>
          <rPr>
            <sz val="10"/>
            <color rgb="FF000000"/>
            <rFont val="Arial"/>
          </rPr>
          <t>God calls Ezekiel, a frail human being, to serve as his prophet with his mighty strength.</t>
        </r>
      </text>
    </comment>
    <comment ref="S39" authorId="0" shapeId="0" xr:uid="{00000000-0006-0000-0400-00008E000000}">
      <text>
        <r>
          <rPr>
            <sz val="10"/>
            <color rgb="FF000000"/>
            <rFont val="Arial"/>
          </rPr>
          <t>Paul was afflicted with a thorn in the flesh to remind him that God's powerful grace was sufficient for him.</t>
        </r>
      </text>
    </comment>
    <comment ref="T39" authorId="0" shapeId="0" xr:uid="{00000000-0006-0000-0400-00008F000000}">
      <text>
        <r>
          <rPr>
            <sz val="10"/>
            <color rgb="FF000000"/>
            <rFont val="Arial"/>
          </rPr>
          <t>Jesus was rejected in Nazareth and reminds us that a prophet is without honor in his hometown.</t>
        </r>
      </text>
    </comment>
    <comment ref="M40" authorId="0" shapeId="0" xr:uid="{00000000-0006-0000-0400-000090000000}">
      <text>
        <r>
          <rPr>
            <sz val="10"/>
            <color rgb="FF000000"/>
            <rFont val="Arial"/>
          </rPr>
          <t>God provides for the preaching of his Word
The world around us is trying to silence God. The world doesn't want to hear God's message of repentance and salvation through Jesus, so it tries to drown out the voices of faithful prophets who proclaim the truth. What a blessing it is to be in God's house to listen to his loving voice today! We are graced by God's promises on the lips of God's messengers, and his Word of life brings comfort to our souls.</t>
        </r>
      </text>
    </comment>
    <comment ref="N40" authorId="0" shapeId="0" xr:uid="{00000000-0006-0000-0400-000091000000}">
      <text>
        <r>
          <rPr>
            <sz val="10"/>
            <color rgb="FF000000"/>
            <rFont val="Arial"/>
          </rPr>
          <t>Almighty God, we thank you for planting in us the seed of your Word. By your Holy Spirit help us to receive it with joy and to bring forth fruits in faith and hope and love; through your Son, Jesus Christ our Lord, who lives and reigns with you and the Holy Spirit, one God, now and forever.</t>
        </r>
      </text>
    </comment>
    <comment ref="O40" authorId="0" shapeId="0" xr:uid="{00000000-0006-0000-0400-000092000000}">
      <text>
        <r>
          <rPr>
            <sz val="10"/>
            <color rgb="FF000000"/>
            <rFont val="Arial"/>
          </rPr>
          <t xml:space="preserve">Alleluia. The Word is very near you; it is in your mouth and in your heart so you may obey it. Alleluia. </t>
        </r>
      </text>
    </comment>
    <comment ref="R40" authorId="0" shapeId="0" xr:uid="{00000000-0006-0000-0400-000093000000}">
      <text>
        <r>
          <rPr>
            <sz val="10"/>
            <color rgb="FF000000"/>
            <rFont val="Arial"/>
          </rPr>
          <t>It wasn't Amos' idea that he should be a prophet. He was called by God to preach the truth.</t>
        </r>
      </text>
    </comment>
    <comment ref="S40" authorId="0" shapeId="0" xr:uid="{00000000-0006-0000-0400-000094000000}">
      <text>
        <r>
          <rPr>
            <sz val="10"/>
            <color rgb="FF000000"/>
            <rFont val="Arial"/>
          </rPr>
          <t>God predestined us in Christ to have his forgiveness as a member of his church.</t>
        </r>
      </text>
    </comment>
    <comment ref="T40" authorId="0" shapeId="0" xr:uid="{00000000-0006-0000-0400-000095000000}">
      <text>
        <r>
          <rPr>
            <sz val="10"/>
            <color rgb="FF000000"/>
            <rFont val="Arial"/>
          </rPr>
          <t>Jesus sends his disciples out to preach repentance and the coming kingdom of God.</t>
        </r>
      </text>
    </comment>
    <comment ref="M41" authorId="0" shapeId="0" xr:uid="{00000000-0006-0000-0400-000096000000}">
      <text>
        <r>
          <rPr>
            <sz val="10"/>
            <color rgb="FF000000"/>
            <rFont val="Arial"/>
          </rPr>
          <t>God provides so we can be one with him
Our sins once separated us from God, but God has made peace with us. God provided a Savior, his own Son, so that the barrier of sin has been removed. Jesus Christ is the righteous Savior we need, who has broken down the wall of hostility and brought us into God's family.</t>
        </r>
      </text>
    </comment>
    <comment ref="N41" authorId="0" shapeId="0" xr:uid="{00000000-0006-0000-0400-000097000000}">
      <text>
        <r>
          <rPr>
            <sz val="10"/>
            <color rgb="FF000000"/>
            <rFont val="Arial"/>
          </rPr>
          <t>Grant us, Lord, the spirit to think and do what is right that we, who cannot do anything that is good without you, may by your help be enabled to live according to your will; through Jesus Christ, your Son, our Lord, who lives and reigns with you and the Holy Spirit, one God, now and forever.</t>
        </r>
      </text>
    </comment>
    <comment ref="O41" authorId="0" shapeId="0" xr:uid="{00000000-0006-0000-0400-000098000000}">
      <text>
        <r>
          <rPr>
            <sz val="10"/>
            <color rgb="FF000000"/>
            <rFont val="Arial"/>
          </rPr>
          <t>Alleluia! My Word will not return to me empty but will accomplish what I desire and achieve the purpose for which I sent it. Alleluia!</t>
        </r>
      </text>
    </comment>
    <comment ref="R41" authorId="0" shapeId="0" xr:uid="{00000000-0006-0000-0400-000099000000}">
      <text>
        <r>
          <rPr>
            <sz val="10"/>
            <color rgb="FF000000"/>
            <rFont val="Arial"/>
          </rPr>
          <t>Under the new covenant the Lord himself will be our righteousness, as he forgives our iniquities and remembers our sins no more.</t>
        </r>
      </text>
    </comment>
    <comment ref="S41" authorId="0" shapeId="0" xr:uid="{00000000-0006-0000-0400-00009A000000}">
      <text>
        <r>
          <rPr>
            <sz val="10"/>
            <color rgb="FF000000"/>
            <rFont val="Arial"/>
          </rPr>
          <t>God has brought us into his church, cleansing us with the blood of Christ, and giving us access to his grace by his Spirit.</t>
        </r>
      </text>
    </comment>
    <comment ref="T41" authorId="0" shapeId="0" xr:uid="{00000000-0006-0000-0400-00009B000000}">
      <text>
        <r>
          <rPr>
            <sz val="10"/>
            <color rgb="FF000000"/>
            <rFont val="Arial"/>
          </rPr>
          <t>Jesus took time with his disciples to rest and pray before he returned to care for sheep without a shepherd.</t>
        </r>
      </text>
    </comment>
    <comment ref="M42" authorId="0" shapeId="0" xr:uid="{00000000-0006-0000-0400-00009C000000}">
      <text>
        <r>
          <rPr>
            <sz val="10"/>
            <color rgb="FF000000"/>
            <rFont val="Arial"/>
          </rPr>
          <t>God unites us with himself and with one another
It has been said that one is the loneliest number. That's true for an individual. But when many are joined into one, that oneness unites and binds us together in one holy family, under one gracious God, for divine purpose. We have communion with God through our Lord Jesus Christ.</t>
        </r>
      </text>
    </comment>
    <comment ref="N42" authorId="0" shapeId="0" xr:uid="{00000000-0006-0000-0400-00009D000000}">
      <text>
        <r>
          <rPr>
            <sz val="10"/>
            <color rgb="FF000000"/>
            <rFont val="Arial"/>
          </rPr>
          <t>O Lord, your ears are always open to the prayers of your humble servants, who come to you in Jesus' name. Teach us always to ask according to your will that we may never fail to obtain the blessings you have promised; through Jesus Christ, your Son, our Lord, who lives and reigns with you and the Holy Spirit, one God, now and forever.</t>
        </r>
      </text>
    </comment>
    <comment ref="O42" authorId="0" shapeId="0" xr:uid="{00000000-0006-0000-0400-00009E000000}">
      <text>
        <r>
          <rPr>
            <sz val="10"/>
            <color rgb="FF000000"/>
            <rFont val="Arial"/>
          </rPr>
          <t>Alleluia! Lord, to whom shall we go? You have the words of eternal life. Alleluia!</t>
        </r>
      </text>
    </comment>
    <comment ref="R42" authorId="0" shapeId="0" xr:uid="{00000000-0006-0000-0400-00009F000000}">
      <text>
        <r>
          <rPr>
            <sz val="10"/>
            <color rgb="FF000000"/>
            <rFont val="Arial"/>
          </rPr>
          <t>The Lord has loved us with an everlasting love, and he wants to draw us close to him so we can commune with him.</t>
        </r>
      </text>
    </comment>
    <comment ref="S42" authorId="0" shapeId="0" xr:uid="{00000000-0006-0000-0400-0000A0000000}">
      <text>
        <r>
          <rPr>
            <sz val="10"/>
            <color rgb="FF000000"/>
            <rFont val="Arial"/>
          </rPr>
          <t>Jesus gives his church gifts of pastors and teachers to prepare God's people for works of service, so that his body may be built up.</t>
        </r>
      </text>
    </comment>
    <comment ref="T42" authorId="0" shapeId="0" xr:uid="{00000000-0006-0000-0400-0000A1000000}">
      <text>
        <r>
          <rPr>
            <sz val="10"/>
            <color rgb="FF000000"/>
            <rFont val="Arial"/>
          </rPr>
          <t>Jesus showed his tender compassion for the multitudes, as he fed five thousand hungry people.</t>
        </r>
      </text>
    </comment>
    <comment ref="M43" authorId="0" shapeId="0" xr:uid="{00000000-0006-0000-0400-0000A2000000}">
      <text>
        <r>
          <rPr>
            <sz val="10"/>
            <color rgb="FF000000"/>
            <rFont val="Arial"/>
          </rPr>
          <t>God provides all we need for body and soul
As we gather in God's house as his people, we have everything we need for our bodies and our souls. God has abundantly provided for our daily lives, giving us food, clothing, shelter, friends, fellow Christians, and family. But most importantly he cares for our souls as he feeds us with the Bread of Life, forgives our sins, and comforts us with the promise of eternal life. We are well taken care of!</t>
        </r>
      </text>
    </comment>
    <comment ref="N43" authorId="0" shapeId="0" xr:uid="{00000000-0006-0000-0400-0000A3000000}">
      <text>
        <r>
          <rPr>
            <sz val="10"/>
            <color rgb="FF000000"/>
            <rFont val="Arial"/>
          </rPr>
          <t>O God, you reveal your mighty power chiefly in showing mercy and kindness. Grant us the full measure of your grace that we may obtain your promises and become partakers of your heavenly glory; through Jesus Christ, your Son, our Lord, who lives and reigns with you and the Holy Spirit, one God, now and forever.</t>
        </r>
      </text>
    </comment>
    <comment ref="O43" authorId="0" shapeId="0" xr:uid="{00000000-0006-0000-0400-0000A4000000}">
      <text>
        <r>
          <rPr>
            <sz val="10"/>
            <color rgb="FF000000"/>
            <rFont val="Arial"/>
          </rPr>
          <t>Alleluia! Jesus replied, "If anyone loves me, he will obey my teaching. My Father will love him, and we will come to him and make our home with him." Alleluia!</t>
        </r>
      </text>
    </comment>
    <comment ref="Q43" authorId="0" shapeId="0" xr:uid="{00000000-0006-0000-0400-0000A5000000}">
      <text>
        <r>
          <rPr>
            <sz val="10"/>
            <color rgb="FF000000"/>
            <rFont val="Arial"/>
          </rPr>
          <t>Little Johnny asks Mom for remuneration for all the chores he has done. She replies by giving freely--and reminding him how much she does for him without asking for repayment. Children at a store touching everything; children in a checkout line wanting the candy and goodies. "Not all I want but everything I need."</t>
        </r>
      </text>
    </comment>
    <comment ref="R43" authorId="0" shapeId="0" xr:uid="{00000000-0006-0000-0400-0000A6000000}">
      <text>
        <r>
          <rPr>
            <sz val="10"/>
            <color rgb="FF000000"/>
            <rFont val="Arial"/>
          </rPr>
          <t>The Israelites complained because they didn't get what they wanted, but God provided everything they needed.</t>
        </r>
      </text>
    </comment>
    <comment ref="S43" authorId="0" shapeId="0" xr:uid="{00000000-0006-0000-0400-0000A7000000}">
      <text>
        <r>
          <rPr>
            <sz val="10"/>
            <color rgb="FF000000"/>
            <rFont val="Arial"/>
          </rPr>
          <t>Instead debauchery and greed, Christians find fulfillment in an abundant life in Christ.</t>
        </r>
      </text>
    </comment>
    <comment ref="T43" authorId="0" shapeId="0" xr:uid="{00000000-0006-0000-0400-0000A8000000}">
      <text>
        <r>
          <rPr>
            <sz val="10"/>
            <color rgb="FF000000"/>
            <rFont val="Arial"/>
          </rPr>
          <t>Don't stress about obtaining food that spoils. Jesus is the Bread of Life, and the food he gives endures to eternal life.</t>
        </r>
      </text>
    </comment>
    <comment ref="M44" authorId="0" shapeId="0" xr:uid="{00000000-0006-0000-0400-0000A9000000}">
      <text>
        <r>
          <rPr>
            <sz val="10"/>
            <color rgb="FF000000"/>
            <rFont val="Arial"/>
          </rPr>
          <t>God provides us with strength for life's journey
There are times in life when we feel vibrant and strong, like we can take on the world. Then there are times when we wonder how we can go on. The Lord walks with us every step of the way. He calls us to look to him when we think we can do it all ourselves. He feeds our soul with the bread of life when we need strength for the journey.</t>
        </r>
      </text>
    </comment>
    <comment ref="N44" authorId="0" shapeId="0" xr:uid="{00000000-0006-0000-0400-0000AA000000}">
      <text>
        <r>
          <rPr>
            <sz val="10"/>
            <color rgb="FF000000"/>
            <rFont val="Arial"/>
          </rPr>
          <t>Almighty and everlasting God, you are always more ready to hear than we to pray, and to give more than we either desire or deserve. Pour upon us the abundance of your mercy, forgiving us those things of which our conscience is afraid, and giving us those good things for which we are not worthy to ask, except through the merits and mediation of your Son, Jesus Christ our Lord, who lives and reigns with you and the Holy Spirit, one God, now and forever.</t>
        </r>
      </text>
    </comment>
    <comment ref="O44" authorId="0" shapeId="0" xr:uid="{00000000-0006-0000-0400-0000AB000000}">
      <text>
        <r>
          <rPr>
            <sz val="10"/>
            <color rgb="FF000000"/>
            <rFont val="Arial"/>
          </rPr>
          <t>Alleluia! Now faith is being sure of what we hope for and certain of what we do not see. Alleluia! (Hebrews 11:1)</t>
        </r>
      </text>
    </comment>
    <comment ref="R44" authorId="0" shapeId="0" xr:uid="{00000000-0006-0000-0400-0000AC000000}">
      <text>
        <r>
          <rPr>
            <sz val="10"/>
            <color rgb="FF000000"/>
            <rFont val="Arial"/>
          </rPr>
          <t>Elijah allowed discouragement and frustration to get the better of him. The Lord gave him strength.</t>
        </r>
      </text>
    </comment>
    <comment ref="S44" authorId="0" shapeId="0" xr:uid="{00000000-0006-0000-0400-0000AD000000}">
      <text>
        <r>
          <rPr>
            <sz val="10"/>
            <color rgb="FF000000"/>
            <rFont val="Arial"/>
          </rPr>
          <t>As forgiven children of God, we forgive others and treat them with kindness and compassion.</t>
        </r>
      </text>
    </comment>
    <comment ref="T44" authorId="0" shapeId="0" xr:uid="{00000000-0006-0000-0400-0000AE000000}">
      <text>
        <r>
          <rPr>
            <sz val="10"/>
            <color rgb="FF000000"/>
            <rFont val="Arial"/>
          </rPr>
          <t>Many disciples were offended by Jesus' Bread of Life teaching. They deserted him and no longer followed him.</t>
        </r>
      </text>
    </comment>
    <comment ref="M45" authorId="0" shapeId="0" xr:uid="{00000000-0006-0000-0400-0000AF000000}">
      <text>
        <r>
          <rPr>
            <sz val="10"/>
            <color rgb="FF000000"/>
            <rFont val="Arial"/>
          </rPr>
          <t>God provides us with wisdom for eternal life
Knowledge and learning are all around us. It's said that the knowledge base of the human race doubles every few years. Science and technology bring wonderful advances that enhance our lives.
But wisdom is found only in one place: It comes from God above. In Christ are found all the secrets of wisdom that leads to eternal life.</t>
        </r>
      </text>
    </comment>
    <comment ref="N45" authorId="0" shapeId="0" xr:uid="{00000000-0006-0000-0400-0000B0000000}">
      <text>
        <r>
          <rPr>
            <sz val="10"/>
            <color rgb="FF000000"/>
            <rFont val="Arial"/>
          </rPr>
          <t>Almighty and merciful God, it is only by your gift of grace that we come into your presence and offer true and faithful service. Grant that our worship on earth may always be pleasing to you, and in the life to come give us the fulfillment of what you have promised; through Jesus Christ, your Son, our Lord, who lives and reigns with you and the Holy Spirit, one God, now and forever.</t>
        </r>
      </text>
    </comment>
    <comment ref="O45" authorId="0" shapeId="0" xr:uid="{00000000-0006-0000-0400-0000B1000000}">
      <text>
        <r>
          <rPr>
            <sz val="10"/>
            <color rgb="FF000000"/>
            <rFont val="Arial"/>
          </rPr>
          <t>Alleluia! The Word of God is living and active, sharper than any two-edged sword, discerning the thoughts and intentions of the heart. Alleluia!</t>
        </r>
      </text>
    </comment>
    <comment ref="R45" authorId="0" shapeId="0" xr:uid="{00000000-0006-0000-0400-0000B2000000}">
      <text>
        <r>
          <rPr>
            <sz val="10"/>
            <color rgb="FF000000"/>
            <rFont val="Arial"/>
          </rPr>
          <t>Where is wisdom to be found? In the words and ways of the Lord.</t>
        </r>
      </text>
    </comment>
    <comment ref="S45" authorId="0" shapeId="0" xr:uid="{00000000-0006-0000-0400-0000B3000000}">
      <text>
        <r>
          <rPr>
            <sz val="10"/>
            <color rgb="FF000000"/>
            <rFont val="Arial"/>
          </rPr>
          <t>The way of the world is foolishness. Walk in the light of wisdom and truth!</t>
        </r>
      </text>
    </comment>
    <comment ref="T45" authorId="0" shapeId="0" xr:uid="{00000000-0006-0000-0400-0000B4000000}">
      <text>
        <r>
          <rPr>
            <sz val="10"/>
            <color rgb="FF000000"/>
            <rFont val="Arial"/>
          </rPr>
          <t>Eating Jesus' flesh and drinking his blood is to believe in him as Savior. The person who does so will live forever.</t>
        </r>
      </text>
    </comment>
    <comment ref="M46" authorId="0" shapeId="0" xr:uid="{00000000-0006-0000-0400-0000B5000000}">
      <text>
        <r>
          <rPr>
            <sz val="10"/>
            <color rgb="FF000000"/>
            <rFont val="Arial"/>
          </rPr>
          <t>God provides us with the blessing of Christian households
The Lord himself builds our households on the firm foundation of his Word. He teaches us to put away the idols in our lives and serve the true God with wholehearted devotion. He invites husbands and wives to love and honor each other in a close bond that mirrors that of Jesus and his Church.</t>
        </r>
      </text>
    </comment>
    <comment ref="N46" authorId="0" shapeId="0" xr:uid="{00000000-0006-0000-0400-0000B6000000}">
      <text>
        <r>
          <rPr>
            <sz val="10"/>
            <color rgb="FF000000"/>
            <rFont val="Arial"/>
          </rPr>
          <t>Almighty and everlasting God, give us an increase of faith, hope, and love; and, that we may obtain what you promise, make us love what you command; through Jesus Christ, your Son, our Lord, who lives and reigns with you and the Holy Spirit, one God, now and forever.</t>
        </r>
      </text>
    </comment>
    <comment ref="O46" authorId="0" shapeId="0" xr:uid="{00000000-0006-0000-0400-0000B7000000}">
      <text>
        <r>
          <rPr>
            <sz val="10"/>
            <color rgb="FF000000"/>
            <rFont val="Arial"/>
          </rPr>
          <t>Alleluia! Jesus Christ has destroyed death and brought life and immortality to light through the gospel. Alleluia!</t>
        </r>
      </text>
    </comment>
    <comment ref="R46" authorId="0" shapeId="0" xr:uid="{00000000-0006-0000-0400-0000B8000000}">
      <text>
        <r>
          <rPr>
            <sz val="10"/>
            <color rgb="FF000000"/>
            <rFont val="Arial"/>
          </rPr>
          <t>The Israelites had choices of which gods they would serve. Joshua tells them to throw away idols and worship the Lord God.</t>
        </r>
      </text>
    </comment>
    <comment ref="S46" authorId="0" shapeId="0" xr:uid="{00000000-0006-0000-0400-0000B9000000}">
      <text>
        <r>
          <rPr>
            <sz val="10"/>
            <color rgb="FF000000"/>
            <rFont val="Arial"/>
          </rPr>
          <t>Husbands and wives honor the Lord by submitting to one another out of reverence for Christ. Wives submit to their husbands, and husbands love their wives.</t>
        </r>
      </text>
    </comment>
    <comment ref="T46" authorId="0" shapeId="0" xr:uid="{00000000-0006-0000-0400-0000BA000000}">
      <text>
        <r>
          <rPr>
            <sz val="10"/>
            <color rgb="FF000000"/>
            <rFont val="Arial"/>
          </rPr>
          <t>Jesus asked the Twelve if they planned to leave him as others were doing. They stayed with him because he alone has the words of eternal life.</t>
        </r>
      </text>
    </comment>
    <comment ref="M47" authorId="0" shapeId="0" xr:uid="{00000000-0006-0000-0400-0000BB000000}">
      <text>
        <r>
          <rPr>
            <sz val="10"/>
            <color rgb="FF000000"/>
            <rFont val="Arial"/>
          </rPr>
          <t>God provides us with discernment
The Lord teaches us the truths that we need to know to be successful for all eternity. We possess a sinful nature that constantly wants to rebel against God. We have a loving Savior who has redeemed us from the curse of our sins and made us his own people. We are blessed and privileged to know the true God through his Son, Jesus Christ!</t>
        </r>
      </text>
    </comment>
    <comment ref="N47" authorId="0" shapeId="0" xr:uid="{00000000-0006-0000-0400-0000BC000000}">
      <text>
        <r>
          <rPr>
            <sz val="10"/>
            <color rgb="FF000000"/>
            <rFont val="Arial"/>
          </rPr>
          <t>O Lord Jesus Christ, preserve the congregation of believers with your never-failing mercy. Help us avoid whatever is wicked and harmful, and guide us in the way that leads to our salvation; for you live and reign with the Father and the Holy Spirit, one God, now and forever.</t>
        </r>
      </text>
    </comment>
    <comment ref="O47" authorId="0" shapeId="0" xr:uid="{00000000-0006-0000-0400-0000BD000000}">
      <text>
        <r>
          <rPr>
            <sz val="10"/>
            <color rgb="FF000000"/>
            <rFont val="Arial"/>
          </rPr>
          <t>Alleluia! Your words became a joy to me, and the delight of my heart. Alleluia!</t>
        </r>
      </text>
    </comment>
    <comment ref="R47" authorId="0" shapeId="0" xr:uid="{00000000-0006-0000-0400-0000BE000000}">
      <text>
        <r>
          <rPr>
            <sz val="10"/>
            <color rgb="FF000000"/>
            <rFont val="Arial"/>
          </rPr>
          <t>God gives his laws to his people to bless us and lead us in the way of truth and understanding.</t>
        </r>
      </text>
    </comment>
    <comment ref="S47" authorId="0" shapeId="0" xr:uid="{00000000-0006-0000-0400-0000BF000000}">
      <text>
        <r>
          <rPr>
            <sz val="10"/>
            <color rgb="FF000000"/>
            <rFont val="Arial"/>
          </rPr>
          <t>Prepare for battle against your spiritual enemies by clothing yourselves with the full armor of God.</t>
        </r>
      </text>
    </comment>
    <comment ref="T47" authorId="0" shapeId="0" xr:uid="{00000000-0006-0000-0400-0000C0000000}">
      <text>
        <r>
          <rPr>
            <sz val="10"/>
            <color rgb="FF000000"/>
            <rFont val="Arial"/>
          </rPr>
          <t>We are not corrupted by violating ceremonial rules about what we eat and drink. We are corrupted by what we think, say, and do.</t>
        </r>
      </text>
    </comment>
    <comment ref="M49" authorId="0" shapeId="0" xr:uid="{00000000-0006-0000-0400-0000C1000000}">
      <text>
        <r>
          <rPr>
            <sz val="10"/>
            <color rgb="FF000000"/>
            <rFont val="Arial"/>
          </rPr>
          <t>We are One in Christ: Using our God-given abilities
Our powerful Savior has given us all the abilities we have. Just as the parts of our bodies serve different functions, so as members of the body of Christ we are blessed with different talents and abilities, yet we are still all one in Jesus. In gratitude, we use all our abilities in service to our Savior.</t>
        </r>
      </text>
    </comment>
    <comment ref="N49" authorId="0" shapeId="0" xr:uid="{00000000-0006-0000-0400-0000C2000000}">
      <text>
        <r>
          <rPr>
            <sz val="10"/>
            <color rgb="FF000000"/>
            <rFont val="Arial"/>
          </rPr>
          <t>Let your continual mercy, O Lord, cleanse and defend your Church; and because it cannot continue in safety without your help, protect and govern it always by your goodness; for you live and reign with the Father and the Holy Spirit, one God, now and forever.</t>
        </r>
      </text>
    </comment>
    <comment ref="O49" authorId="0" shapeId="0" xr:uid="{00000000-0006-0000-0400-0000C3000000}">
      <text>
        <r>
          <rPr>
            <sz val="10"/>
            <color rgb="FF000000"/>
            <rFont val="Arial"/>
          </rPr>
          <t>Alleluia! Rejoice in the Lord always; again I will say, Rejoice. Alleluia!</t>
        </r>
      </text>
    </comment>
    <comment ref="R49" authorId="0" shapeId="0" xr:uid="{00000000-0006-0000-0400-0000C4000000}">
      <text>
        <r>
          <rPr>
            <sz val="10"/>
            <color rgb="FF000000"/>
            <rFont val="Arial"/>
          </rPr>
          <t>When the Savior comes, hearts that are oppressed will be set free and leap for joy.</t>
        </r>
      </text>
    </comment>
    <comment ref="S49" authorId="0" shapeId="0" xr:uid="{00000000-0006-0000-0400-0000C5000000}">
      <text>
        <r>
          <rPr>
            <sz val="10"/>
            <color rgb="FF000000"/>
            <rFont val="Arial"/>
          </rPr>
          <t>God gives us our abilities, so that we can serve and honor him.</t>
        </r>
      </text>
    </comment>
    <comment ref="T49" authorId="0" shapeId="0" xr:uid="{00000000-0006-0000-0400-0000C6000000}">
      <text>
        <r>
          <rPr>
            <sz val="10"/>
            <color rgb="FF000000"/>
            <rFont val="Arial"/>
          </rPr>
          <t>Jesus restored the hearing of a deaf man. The man went with joy and told what Jesus had done.</t>
        </r>
      </text>
    </comment>
    <comment ref="M50" authorId="0" shapeId="0" xr:uid="{00000000-0006-0000-0400-0000C7000000}">
      <text>
        <r>
          <rPr>
            <sz val="10"/>
            <color rgb="FF000000"/>
            <rFont val="Arial"/>
          </rPr>
          <t>We are One in Christ: In giving our offerings
The things we have in our possession are all gifts that God has placed into our care. He gives us the ability to work and the intellect to earn. We want to manage well the things God has placed into our care. With thankful hearts, we live abundantly and we give generously in response to God's abundant generosity to us.</t>
        </r>
      </text>
    </comment>
    <comment ref="N50" authorId="0" shapeId="0" xr:uid="{00000000-0006-0000-0400-0000C8000000}">
      <text>
        <r>
          <rPr>
            <sz val="10"/>
            <color rgb="FF000000"/>
            <rFont val="Arial"/>
          </rPr>
          <t>Lord, we pray that your mercy and grace may always go before and follow after us that, loving you with undivided hearts, we may be ready for every good and useful work; through your Son, Jesus Christ our Lord, who lives and reigns with you and the Holy Spirit, one God, now and forever.</t>
        </r>
      </text>
    </comment>
    <comment ref="O50" authorId="0" shapeId="0" xr:uid="{00000000-0006-0000-0400-0000C9000000}">
      <text>
        <r>
          <rPr>
            <sz val="10"/>
            <color rgb="FF000000"/>
            <rFont val="Arial"/>
          </rPr>
          <t>Alleluia! Everything that was written in the past was written to teach us, so that through endurance and the encouragement of the Scriptures we might have hope. Alleluia!</t>
        </r>
      </text>
    </comment>
    <comment ref="R50" authorId="0" shapeId="0" xr:uid="{00000000-0006-0000-0400-0000CA000000}">
      <text>
        <r>
          <rPr>
            <sz val="10"/>
            <color rgb="FF000000"/>
            <rFont val="Arial"/>
          </rPr>
          <t>This picture of the Messiah reveals his complete dedication to the Lord.</t>
        </r>
      </text>
    </comment>
    <comment ref="S50" authorId="0" shapeId="0" xr:uid="{00000000-0006-0000-0400-0000CB000000}">
      <text>
        <r>
          <rPr>
            <sz val="10"/>
            <color rgb="FF000000"/>
            <rFont val="Arial"/>
          </rPr>
          <t>Wealth is deceiving. We are not to gauge a person's worth by his earthly wealth.</t>
        </r>
      </text>
    </comment>
    <comment ref="T50" authorId="0" shapeId="0" xr:uid="{00000000-0006-0000-0400-0000CC000000}">
      <text>
        <r>
          <rPr>
            <sz val="10"/>
            <color rgb="FF000000"/>
            <rFont val="Arial"/>
          </rPr>
          <t>The goal of the world is ease and comfort. Jesus calls us to carry the hard cross of discipleship and sacrifice.</t>
        </r>
      </text>
    </comment>
    <comment ref="M51" authorId="0" shapeId="0" xr:uid="{00000000-0006-0000-0400-0000CD000000}">
      <text>
        <r>
          <rPr>
            <sz val="10"/>
            <color rgb="FF000000"/>
            <rFont val="Arial"/>
          </rPr>
          <t>We are One in Christ: In a lifetime of service
Because Jesus has bought us with his blood, we have been redeemed from an empty way of life and rescued for service to him. We have the privilege of honoring and serving our Lord who bought us with lives that are dedicated to him. God gives us time on this earth to serve his purpose, as we serve God and serve our neighbor. We have been saved to serve!</t>
        </r>
      </text>
    </comment>
    <comment ref="N51" authorId="0" shapeId="0" xr:uid="{00000000-0006-0000-0400-0000CE000000}">
      <text>
        <r>
          <rPr>
            <sz val="10"/>
            <color rgb="FF000000"/>
            <rFont val="Arial"/>
          </rPr>
          <t>Lord God, you call us to work in your kingdom and leave no one standing idle. Help us to order our lives by your wisdom and to serve you in willing obedience; through Jesus Christ, your Son, our Lord, who lives and reigns with you and the Holy Spirit, one God, now and forever.</t>
        </r>
      </text>
    </comment>
    <comment ref="O51" authorId="0" shapeId="0" xr:uid="{00000000-0006-0000-0400-0000CF000000}">
      <text>
        <r>
          <rPr>
            <sz val="10"/>
            <color rgb="FF000000"/>
            <rFont val="Arial"/>
          </rPr>
          <t>Alleluia! My grace is sufficient for you, for my power is made perfect in weakness. Alleluia!</t>
        </r>
      </text>
    </comment>
    <comment ref="R51" authorId="0" shapeId="0" xr:uid="{00000000-0006-0000-0400-0000D0000000}">
      <text>
        <r>
          <rPr>
            <sz val="10"/>
            <color rgb="FF000000"/>
            <rFont val="Arial"/>
          </rPr>
          <t>Jeremiah was persecuted because he faithfully served the Lord.</t>
        </r>
      </text>
    </comment>
    <comment ref="S51" authorId="0" shapeId="0" xr:uid="{00000000-0006-0000-0400-0000D1000000}">
      <text>
        <r>
          <rPr>
            <sz val="10"/>
            <color rgb="FF000000"/>
            <rFont val="Arial"/>
          </rPr>
          <t>We are called away from selfish desires and worldly ambition to yield ourselves in service to the Lord.</t>
        </r>
      </text>
    </comment>
    <comment ref="T51" authorId="0" shapeId="0" xr:uid="{00000000-0006-0000-0400-0000D2000000}">
      <text>
        <r>
          <rPr>
            <sz val="10"/>
            <color rgb="FF000000"/>
            <rFont val="Arial"/>
          </rPr>
          <t>Jesus teaches his disciples that true greatness is found in service.</t>
        </r>
      </text>
    </comment>
    <comment ref="M52" authorId="0" shapeId="0" xr:uid="{00000000-0006-0000-0400-0000D3000000}">
      <text>
        <r>
          <rPr>
            <sz val="10"/>
            <color rgb="FF000000"/>
            <rFont val="Arial"/>
          </rPr>
          <t>We are One in Christ: In proclaiming the truth
The Lord has blessed us with his Word, handed down to us from generation to generation over thousands of years. We do not wish to deny it, change it, or interpret it to mean something other than what it plainly says. Together we proclaim the truth of God's Word with one voice, unified in our teaching and faithful in putting it into practice.</t>
        </r>
      </text>
    </comment>
    <comment ref="N52" authorId="0" shapeId="0" xr:uid="{00000000-0006-0000-0400-0000D4000000}">
      <text>
        <r>
          <rPr>
            <sz val="10"/>
            <color rgb="FF000000"/>
            <rFont val="Arial"/>
          </rPr>
          <t>Mercifully grant, O God, that your Holy Spirit may in all things direct and rule our hearts, for without your help we are unable to please you; through Jesus Christ, your Son, our Lord, who lives and reigns with you and the Holy Spirit, one God, now and forever.</t>
        </r>
      </text>
    </comment>
    <comment ref="O52" authorId="0" shapeId="0" xr:uid="{00000000-0006-0000-0400-0000D5000000}">
      <text>
        <r>
          <rPr>
            <sz val="10"/>
            <color rgb="FF000000"/>
            <rFont val="Arial"/>
          </rPr>
          <t>Alleluia! At the name of Jesus every knee should bow, and every tongue confess that Jesus Christ is Lord, to the glory of God the Father. Alleluia!</t>
        </r>
      </text>
    </comment>
    <comment ref="Q52" authorId="0" shapeId="0" xr:uid="{00000000-0006-0000-0400-0000D6000000}">
      <text>
        <r>
          <rPr>
            <sz val="10"/>
            <color rgb="FF000000"/>
            <rFont val="Arial"/>
          </rPr>
          <t>Pastor B's notes:
Power to convert
Power to drive out demons
Power to resist sin and overcome temptation
Power of forgiveness
Power to cleanse</t>
        </r>
      </text>
    </comment>
    <comment ref="R52" authorId="0" shapeId="0" xr:uid="{00000000-0006-0000-0400-0000D7000000}">
      <text>
        <r>
          <rPr>
            <sz val="10"/>
            <color rgb="FF000000"/>
            <rFont val="Arial"/>
          </rPr>
          <t>Joshua is troubled because other men are prophesying in God's Name.</t>
        </r>
      </text>
    </comment>
    <comment ref="S52" authorId="0" shapeId="0" xr:uid="{00000000-0006-0000-0400-0000D8000000}">
      <text>
        <r>
          <rPr>
            <sz val="10"/>
            <color rgb="FF000000"/>
            <rFont val="Arial"/>
          </rPr>
          <t>We are not to sit in judgment on God's Word by presuming to change it. Rather, we are to preach and obey it faithfully.</t>
        </r>
      </text>
    </comment>
    <comment ref="T52" authorId="0" shapeId="0" xr:uid="{00000000-0006-0000-0400-0000D9000000}">
      <text>
        <r>
          <rPr>
            <sz val="10"/>
            <color rgb="FF000000"/>
            <rFont val="Arial"/>
          </rPr>
          <t>The disciples are troubled because someone else is driving out demons in Jesus' name.</t>
        </r>
      </text>
    </comment>
    <comment ref="M53" authorId="0" shapeId="0" xr:uid="{00000000-0006-0000-0400-0000DA000000}">
      <text>
        <r>
          <rPr>
            <sz val="10"/>
            <color rgb="FF000000"/>
            <rFont val="Arial"/>
          </rPr>
          <t>We are One in Christ: Celebrating God's gift of marriage
Marriage is under attack from all sides. Some people view it as a human institution that can be redefined at will. Others break the marriage bond through divorce. Jesus shows us that marriage is a precious gift that comes from God and is defined by God. We honor God as we honor his blessing of marriage.</t>
        </r>
      </text>
    </comment>
    <comment ref="N53" authorId="0" shapeId="0" xr:uid="{00000000-0006-0000-0400-0000DB000000}">
      <text>
        <r>
          <rPr>
            <sz val="10"/>
            <color rgb="FF000000"/>
            <rFont val="Arial"/>
          </rPr>
          <t>Almighty God, in your bountiful goodness keep us safe from every evil of body and soul. Make us ready, with cheerful hearts, to do whatever pleases you; through Jesus Christ, your Son, our Lord, who lives and reigns with you and the Holy Spirit, one God, now and forever.</t>
        </r>
      </text>
    </comment>
    <comment ref="O53" authorId="0" shapeId="0" xr:uid="{00000000-0006-0000-0400-0000DC000000}">
      <text>
        <r>
          <rPr>
            <sz val="10"/>
            <color rgb="FF000000"/>
            <rFont val="Arial"/>
          </rPr>
          <t>Alleluia! I will proclaim your name to my people; in the midst of the congregation I will praise you. Alleluia!</t>
        </r>
      </text>
    </comment>
    <comment ref="R53" authorId="0" shapeId="0" xr:uid="{00000000-0006-0000-0400-0000DD000000}">
      <text>
        <r>
          <rPr>
            <sz val="10"/>
            <color rgb="FF000000"/>
            <rFont val="Arial"/>
          </rPr>
          <t>God is the author of marriage. He created this ordinance as a blessing for companionship, for children, and for physical happiness.</t>
        </r>
      </text>
    </comment>
    <comment ref="S53" authorId="0" shapeId="0" xr:uid="{00000000-0006-0000-0400-0000DE000000}">
      <text>
        <r>
          <rPr>
            <sz val="10"/>
            <color rgb="FF000000"/>
            <rFont val="Arial"/>
          </rPr>
          <t>God is creator of everything. He sent Jesus as our human brother to experience death in our place.</t>
        </r>
      </text>
    </comment>
    <comment ref="T53" authorId="0" shapeId="0" xr:uid="{00000000-0006-0000-0400-0000DF000000}">
      <text>
        <r>
          <rPr>
            <sz val="10"/>
            <color rgb="FF000000"/>
            <rFont val="Arial"/>
          </rPr>
          <t>We honor Jesus by honoring marriage. We are faithful to him as we are faithful to our spouse.</t>
        </r>
      </text>
    </comment>
    <comment ref="M54" authorId="0" shapeId="0" xr:uid="{00000000-0006-0000-0400-0000E0000000}">
      <text>
        <r>
          <rPr>
            <sz val="10"/>
            <color rgb="FF000000"/>
            <rFont val="Arial"/>
          </rPr>
          <t>We are One in Christ: Covered by Jesus' righteousness
Of all the things you call your own, what do you value the most? Your family and loved ones? Your possessions? Your time?
What about your soul?
Your soul is immortal. It will exist forever. To be ready for eternity you need a righteousness that you yourself cannot provide. It must come from outside of you. Jesus cares for our souls by giving us his righteousness. He brings us together as one holy Christian Church, clothed in his perfection.
Today we also celebrate the Minor Festival of St. Luke the Evangelist. Luke was a physician who cared for the needs of the human body, and as a Christian witness he shared the gospel of forgiveness for the eternal health of souls.</t>
        </r>
      </text>
    </comment>
    <comment ref="N54" authorId="0" shapeId="0" xr:uid="{00000000-0006-0000-0400-0000E1000000}">
      <text>
        <r>
          <rPr>
            <sz val="10"/>
            <color rgb="FF000000"/>
            <rFont val="Arial"/>
          </rPr>
          <t>Almighty God, you called Saint Luke the physician to reveal in his Gospel the love and healing power of your Son. Grant that by hearing and believing your Word we may be healed of all sin and serve you with willing hearts; through Jesus Christ our Lord, who lives and reigns with you and the Holy Spirit, one God, now and forever.</t>
        </r>
      </text>
    </comment>
    <comment ref="O54" authorId="0" shapeId="0" xr:uid="{00000000-0006-0000-0400-0000E2000000}">
      <text>
        <r>
          <rPr>
            <sz val="10"/>
            <color rgb="FF000000"/>
            <rFont val="Arial"/>
          </rPr>
          <t>Alleluia! How beautiful on the mountains are the feet of those who bring good news, who proclaim salvation. Alleluia!</t>
        </r>
      </text>
    </comment>
    <comment ref="R54" authorId="0" shapeId="0" xr:uid="{00000000-0006-0000-0400-0000E3000000}">
      <text>
        <r>
          <rPr>
            <sz val="10"/>
            <color rgb="FF000000"/>
            <rFont val="Arial"/>
          </rPr>
          <t>Righteousness and salvation are only found in the Lord God.</t>
        </r>
      </text>
    </comment>
    <comment ref="S54" authorId="0" shapeId="0" xr:uid="{00000000-0006-0000-0400-0000E4000000}">
      <text>
        <r>
          <rPr>
            <sz val="10"/>
            <color rgb="FF000000"/>
            <rFont val="Arial"/>
          </rPr>
          <t>At the end of his earthly life, the Apostle Paul was encouraged by Luke the Evangelist.</t>
        </r>
      </text>
    </comment>
    <comment ref="T54" authorId="0" shapeId="0" xr:uid="{00000000-0006-0000-0400-0000E5000000}">
      <text>
        <r>
          <rPr>
            <sz val="10"/>
            <color rgb="FF000000"/>
            <rFont val="Arial"/>
          </rPr>
          <t>The rich young man thought righteousness could be found in his own obedience. His earthly riches got in the way of finding true righteousness.</t>
        </r>
      </text>
    </comment>
    <comment ref="M55" authorId="0" shapeId="0" xr:uid="{00000000-0006-0000-0400-0000E6000000}">
      <text>
        <r>
          <rPr>
            <sz val="10"/>
            <color rgb="FF000000"/>
            <rFont val="Arial"/>
          </rPr>
          <t>We are One in Christ: Who gave himself for us
Jesus came to suffer everything that this sinful world could throw at him. That's the only way we could be redeemed from death and hell. He himself experienced death and hell, so that we would never have to. We are united by a Savior whose blood has washed us and whose death has saved us from eternal destruction.</t>
        </r>
      </text>
    </comment>
    <comment ref="N55" authorId="0" shapeId="0" xr:uid="{00000000-0006-0000-0400-0000E7000000}">
      <text>
        <r>
          <rPr>
            <sz val="10"/>
            <color rgb="FF000000"/>
            <rFont val="Arial"/>
          </rPr>
          <t>Lord, keep your household, the Church, in continual godliness and set us free from all adversities that, under your protection, we may serve you with true devotion and holy deeds; through Jesus Christ, your Son, our Lord, who lives and reigns with you and the Holy Spirit, one God, now and forever.</t>
        </r>
      </text>
    </comment>
    <comment ref="O55" authorId="0" shapeId="0" xr:uid="{00000000-0006-0000-0400-0000E8000000}">
      <text>
        <r>
          <rPr>
            <sz val="10"/>
            <color rgb="FF000000"/>
            <rFont val="Arial"/>
          </rPr>
          <t>Alleluia! For we are God's workmanship, created in Christ Jesus to do good works. Alleluia.</t>
        </r>
      </text>
    </comment>
    <comment ref="R55" authorId="0" shapeId="0" xr:uid="{00000000-0006-0000-0400-0000E9000000}">
      <text>
        <r>
          <rPr>
            <sz val="10"/>
            <color rgb="FF000000"/>
            <rFont val="Arial"/>
          </rPr>
          <t>The Suffering Servant pours out his life as the substitute for sinners who have wandered and strayed from God.</t>
        </r>
      </text>
    </comment>
    <comment ref="S55" authorId="0" shapeId="0" xr:uid="{00000000-0006-0000-0400-0000EA000000}">
      <text>
        <r>
          <rPr>
            <sz val="10"/>
            <color rgb="FF000000"/>
            <rFont val="Arial"/>
          </rPr>
          <t>Jesus, our great high priest, was tempted in every way just as we are, yet he was without sin.</t>
        </r>
      </text>
    </comment>
    <comment ref="T55" authorId="0" shapeId="0" xr:uid="{00000000-0006-0000-0400-0000EB000000}">
      <text>
        <r>
          <rPr>
            <sz val="10"/>
            <color rgb="FF000000"/>
            <rFont val="Arial"/>
          </rPr>
          <t>James and John did not understand how much Jesus had to suffer before he would enter his glory.</t>
        </r>
      </text>
    </comment>
    <comment ref="M56" authorId="0" shapeId="0" xr:uid="{00000000-0006-0000-0400-0000EC000000}">
      <text>
        <r>
          <rPr>
            <sz val="10"/>
            <color rgb="FF000000"/>
            <rFont val="Arial"/>
          </rPr>
          <t>We are One in Christ: In our witness to the truth
What is truth? Our culture ridicules that question and claims that there is no such thing as absolute truth. We know better, and we know the answer to the question. God's Word is truth! Human knowledge and philosophy comes and goes, but the Word of the Lord remains forever. We hold out the Word of truth to share it with all people.</t>
        </r>
      </text>
    </comment>
    <comment ref="N56" authorId="0" shapeId="0" xr:uid="{00000000-0006-0000-0400-0000ED000000}">
      <text>
        <r>
          <rPr>
            <sz val="10"/>
            <color rgb="FF000000"/>
            <rFont val="Arial"/>
          </rPr>
          <t>Gracious Lord, our refuge and strength, pour out your Holy Spirit on your faithful people. Keep them steadfast in your Word, protect and comfort them in all temptations, defend them against all their enemies, and bestow on the Church your saving peace; through Jesus Christ, your Son, our Lord, who lives and reigns with you and the Holy Spirit, one God, now and forever.</t>
        </r>
      </text>
    </comment>
    <comment ref="O56" authorId="0" shapeId="0" xr:uid="{00000000-0006-0000-0400-0000EE000000}">
      <text>
        <r>
          <rPr>
            <sz val="10"/>
            <color rgb="FF000000"/>
            <rFont val="Arial"/>
          </rPr>
          <t>Alleluia! If you continue in my Word, you are truly my disciples, and you will know the truth, and the truth will make you free. Alleluia!</t>
        </r>
      </text>
    </comment>
    <comment ref="R56" authorId="0" shapeId="0" xr:uid="{00000000-0006-0000-0400-0000EF000000}">
      <text>
        <r>
          <rPr>
            <sz val="10"/>
            <color rgb="FF000000"/>
            <rFont val="Arial"/>
          </rPr>
          <t>God warned the people to reform their ways and walk in the truth.</t>
        </r>
      </text>
    </comment>
    <comment ref="S56" authorId="0" shapeId="0" xr:uid="{00000000-0006-0000-0400-0000F0000000}">
      <text>
        <r>
          <rPr>
            <sz val="10"/>
            <color rgb="FF000000"/>
            <rFont val="Arial"/>
          </rPr>
          <t>The church will always confess the truth of the eternal gospel.</t>
        </r>
      </text>
    </comment>
    <comment ref="T56" authorId="0" shapeId="0" xr:uid="{00000000-0006-0000-0400-0000F1000000}">
      <text>
        <r>
          <rPr>
            <sz val="10"/>
            <color rgb="FF000000"/>
            <rFont val="Arial"/>
          </rPr>
          <t>Jesus tells his disciples that they will confess the truth before powerful leaders.</t>
        </r>
      </text>
    </comment>
    <comment ref="M57" authorId="0" shapeId="0" xr:uid="{00000000-0006-0000-0400-0000F2000000}">
      <text>
        <r>
          <rPr>
            <sz val="10"/>
            <color rgb="FF000000"/>
            <rFont val="Arial"/>
          </rPr>
          <t>We are One in Christ: Looking forward to Judgment Day
The thought of eternal judgment prompts different reaction from different people. Some are indifferent because they don't believe it or don't care. For others the thought of Judgment Day brings terror. For Christians, Judgment Day is a day to look forward to. We are looking forward to a wonderful eternal outcome because we know the Judge, and he is our Savior and friend!</t>
        </r>
      </text>
    </comment>
    <comment ref="N57" authorId="0" shapeId="0" xr:uid="{00000000-0006-0000-0400-0000F3000000}">
      <text>
        <r>
          <rPr>
            <sz val="10"/>
            <color rgb="FF000000"/>
            <rFont val="Arial"/>
          </rPr>
          <t>Lord God Almighty, so rule and govern our hearts and minds by your Holy Spirit that we may always look forward to the end of this present evil age and to teh day of your righteous judgment. Keep us steadfast in true and living faith and present us at last holy and blameless before you; through your Son, Jesus Christ our Lord, who lives and reigns with you and the Holy Spirit, one God, now and forever.</t>
        </r>
      </text>
    </comment>
    <comment ref="O57" authorId="0" shapeId="0" xr:uid="{00000000-0006-0000-0400-0000F4000000}">
      <text>
        <r>
          <rPr>
            <sz val="10"/>
            <color rgb="FF000000"/>
            <rFont val="Arial"/>
          </rPr>
          <t>Alleluia! Watch therefore, for you do not know on what day your Lord is coming. Alleluia!</t>
        </r>
      </text>
    </comment>
    <comment ref="R57" authorId="0" shapeId="0" xr:uid="{00000000-0006-0000-0400-0000F5000000}">
      <text>
        <r>
          <rPr>
            <sz val="10"/>
            <color rgb="FF000000"/>
            <rFont val="Arial"/>
          </rPr>
          <t>The Day of Judgment brings terror for the wicked and rejoicing for the righteous.</t>
        </r>
      </text>
    </comment>
    <comment ref="S57" authorId="0" shapeId="0" xr:uid="{00000000-0006-0000-0400-0000F6000000}">
      <text>
        <r>
          <rPr>
            <sz val="10"/>
            <color rgb="FF000000"/>
            <rFont val="Arial"/>
          </rPr>
          <t>Christ himself entered the place of judgment to make payment for the world's sin. Every human being must appear before the judgment seat of Christ.</t>
        </r>
      </text>
    </comment>
    <comment ref="T57" authorId="0" shapeId="0" xr:uid="{00000000-0006-0000-0400-0000F7000000}">
      <text>
        <r>
          <rPr>
            <sz val="10"/>
            <color rgb="FF000000"/>
            <rFont val="Arial"/>
          </rPr>
          <t>The Father has entrusted all judgment to his Son, Jesus Christ.</t>
        </r>
      </text>
    </comment>
    <comment ref="M58" authorId="0" shapeId="0" xr:uid="{00000000-0006-0000-0400-0000F8000000}">
      <text>
        <r>
          <rPr>
            <sz val="10"/>
            <color rgb="FF000000"/>
            <rFont val="Arial"/>
          </rPr>
          <t>We are One in Christ: Triumphant in glory
On earth there is nothing obviously special about Christians. We often look, dress, and act the same as other moral, sensible people in the world. Christians are often persecuted, rejected, scorned by the world. But in the final judgment our true glory will be revealed. We have been clothed with Jesus and his dazzling righteousness. We are victorious with our victorious Savior. We will be with our Lord in glory forever!</t>
        </r>
      </text>
    </comment>
    <comment ref="N58" authorId="0" shapeId="0" xr:uid="{00000000-0006-0000-0400-0000F9000000}">
      <text>
        <r>
          <rPr>
            <sz val="10"/>
            <color rgb="FF000000"/>
            <rFont val="Arial"/>
          </rPr>
          <t>Almighty God and Savior, you have set the final day and hour when we shall be delivered from this world of sin and death. Keep us ever watchful for the coming of your Son that we may sit with him and all your holy ones at the marriage feast in heaven; through Jesus Christ, your Son, our Lord, who lives and reigns with you and the Holy Spirit, one God, now and forever.</t>
        </r>
      </text>
    </comment>
    <comment ref="O58" authorId="0" shapeId="0" xr:uid="{00000000-0006-0000-0400-0000FA000000}">
      <text>
        <r>
          <rPr>
            <sz val="10"/>
            <color rgb="FF000000"/>
            <rFont val="Arial"/>
          </rPr>
          <t>Alleluia! They are before the throne of God and serve him day and night in his temple. Alleluia!</t>
        </r>
      </text>
    </comment>
    <comment ref="R58" authorId="0" shapeId="0" xr:uid="{00000000-0006-0000-0400-0000FB000000}">
      <text>
        <r>
          <rPr>
            <sz val="10"/>
            <color rgb="FF000000"/>
            <rFont val="Arial"/>
          </rPr>
          <t>In the end the righteous will rise to everlasting glory, while the wicked will rise to eternal shame and contempt.</t>
        </r>
      </text>
    </comment>
    <comment ref="S58" authorId="0" shapeId="0" xr:uid="{00000000-0006-0000-0400-0000FC000000}">
      <text>
        <r>
          <rPr>
            <sz val="10"/>
            <color rgb="FF000000"/>
            <rFont val="Arial"/>
          </rPr>
          <t>By his perfect sacrifice, Jesus has ensured the victory of the saints once for all.</t>
        </r>
      </text>
    </comment>
    <comment ref="T58" authorId="0" shapeId="0" xr:uid="{00000000-0006-0000-0400-0000FD000000}">
      <text>
        <r>
          <rPr>
            <sz val="10"/>
            <color rgb="FF000000"/>
            <rFont val="Arial"/>
          </rPr>
          <t>When Jesus returns, the victory and glory of his saints will be evident to all.</t>
        </r>
      </text>
    </comment>
    <comment ref="M59" authorId="0" shapeId="0" xr:uid="{00000000-0006-0000-0400-0000FE000000}">
      <text>
        <r>
          <rPr>
            <sz val="10"/>
            <color rgb="FF000000"/>
            <rFont val="Arial"/>
          </rPr>
          <t>We are One in Christ our King!
When Jesus claimed to be a king his tormentors crucified him with a placard over his head: "This is the king of the Jews." When he comes again every knee will bow and every tongue will confess that Jesus is Lord and King, to the glory of God the Father. Then he will establish his eternal dominion, and his kingdom will have no end.</t>
        </r>
      </text>
    </comment>
    <comment ref="N59" authorId="0" shapeId="0" xr:uid="{00000000-0006-0000-0400-0000FF000000}">
      <text>
        <r>
          <rPr>
            <sz val="10"/>
            <color rgb="FF000000"/>
            <rFont val="Arial"/>
          </rPr>
          <t>Lord Jesus Christ, by your victory you have broken the power of the evil one. Fill our hearts with joy and peace as we look with hope to that day when every creature in heaven and earth will acclaim you King of kings and Lord of lords to your unending praise and glory; for you live and reign with the Father and the Holy Spirit, one God, now and forever.</t>
        </r>
      </text>
    </comment>
    <comment ref="O59" authorId="0" shapeId="0" xr:uid="{00000000-0006-0000-0400-000000010000}">
      <text>
        <r>
          <rPr>
            <sz val="10"/>
            <color rgb="FF000000"/>
            <rFont val="Arial"/>
          </rPr>
          <t>Alleluia! I am the Alpha and the Omega, the First and the Last, the Beginning and the End. Alleluia!</t>
        </r>
      </text>
    </comment>
    <comment ref="R59" authorId="0" shapeId="0" xr:uid="{00000000-0006-0000-0400-000001010000}">
      <text>
        <r>
          <rPr>
            <sz val="10"/>
            <color rgb="FF000000"/>
            <rFont val="Arial"/>
          </rPr>
          <t>When the Son of Man comes in his glory he will establish an everlasting kingdom.</t>
        </r>
      </text>
    </comment>
    <comment ref="S59" authorId="0" shapeId="0" xr:uid="{00000000-0006-0000-0400-000002010000}">
      <text>
        <r>
          <rPr>
            <sz val="10"/>
            <color rgb="FF000000"/>
            <rFont val="Arial"/>
          </rPr>
          <t>Jesus is the firstborn from the dead and the ruler of the kings of the earth. He is coming to rule and to judge.</t>
        </r>
      </text>
    </comment>
    <comment ref="T59" authorId="0" shapeId="0" xr:uid="{00000000-0006-0000-0400-000003010000}">
      <text>
        <r>
          <rPr>
            <sz val="10"/>
            <color rgb="FF000000"/>
            <rFont val="Arial"/>
          </rPr>
          <t>Jesus declares to Pilate that he is the king whose kingdom is not of this world.</t>
        </r>
      </text>
    </comment>
    <comment ref="M60" authorId="0" shapeId="0" xr:uid="{00000000-0006-0000-0400-000004010000}">
      <text>
        <r>
          <rPr>
            <sz val="10"/>
            <color rgb="FF000000"/>
            <rFont val="Arial"/>
          </rPr>
          <t>Thankful for all God's blessings
Every blessing we enjoy comes from our heavenly Father, who showers us with his goodness every day. At Thanksgiving we pause and remember all of the good things God has given us to enjoy! Not only does he give us everything we need for our bodies and lives, but he provides for our souls, as he gives us his forgiveness, comfort and peace. Pause and reflect, and let the gratitude of your heart well up into expressions of thanksgiving and praise.</t>
        </r>
      </text>
    </comment>
    <comment ref="N60" authorId="0" shapeId="0" xr:uid="{00000000-0006-0000-0400-000005010000}">
      <text>
        <r>
          <rPr>
            <sz val="10"/>
            <color rgb="FF000000"/>
            <rFont val="Arial"/>
          </rPr>
          <t>Almighty God our Father, your generous goodness comes to us new every day. By the work of your Spirit lead us to acknowledge your goodness, give thanks for your benefits, and serve you in willing obedience; through your Son, Jesus Christ our Lord.</t>
        </r>
      </text>
    </comment>
    <comment ref="O60" authorId="0" shapeId="0" xr:uid="{00000000-0006-0000-0400-000006010000}">
      <text>
        <r>
          <rPr>
            <sz val="10"/>
            <color rgb="FF000000"/>
            <rFont val="Arial"/>
          </rPr>
          <t>Alleluia! Give thanks to the Lord, for he is good. His love endures forever. Alleluia!</t>
        </r>
      </text>
    </comment>
    <comment ref="R60" authorId="0" shapeId="0" xr:uid="{00000000-0006-0000-0400-000007010000}">
      <text>
        <r>
          <rPr>
            <sz val="10"/>
            <color rgb="FF000000"/>
            <rFont val="Arial"/>
          </rPr>
          <t>The Israelites were reminded to remember the Lord and thank him for his deliverance.</t>
        </r>
      </text>
    </comment>
    <comment ref="S60" authorId="0" shapeId="0" xr:uid="{00000000-0006-0000-0400-000008010000}">
      <text>
        <r>
          <rPr>
            <sz val="10"/>
            <color rgb="FF000000"/>
            <rFont val="Arial"/>
          </rPr>
          <t>The Apostle Paul is thankful to the Philippians for their gifts and prayers.</t>
        </r>
      </text>
    </comment>
    <comment ref="T60" authorId="0" shapeId="0" xr:uid="{00000000-0006-0000-0400-000009010000}">
      <text>
        <r>
          <rPr>
            <sz val="10"/>
            <color rgb="FF000000"/>
            <rFont val="Arial"/>
          </rPr>
          <t>Ten lepers were cleansed, but only one remembered to return to Jesus and give thanks.</t>
        </r>
      </text>
    </comment>
    <comment ref="M61" authorId="0" shapeId="0" xr:uid="{00000000-0006-0000-0400-00000A010000}">
      <text>
        <r>
          <rPr>
            <sz val="10"/>
            <color rgb="FF000000"/>
            <rFont val="Arial"/>
          </rPr>
          <t>Thankful for all God's blessings
Every blessing we enjoy comes from our heavenly Father, who showers us with his goodness every day. At Thanksgiving we pause and remember all of the good things God has given us to enjoy! Not only does he give us everything we need for our bodies and lives, but he provides for our souls, as he gives us his forgiveness, comfort and peace. Pause and reflect, and let the gratitude of your heart well up into expressions of thanksgiving and praise.</t>
        </r>
      </text>
    </comment>
    <comment ref="N61" authorId="0" shapeId="0" xr:uid="{00000000-0006-0000-0400-00000B010000}">
      <text>
        <r>
          <rPr>
            <sz val="10"/>
            <color rgb="FF000000"/>
            <rFont val="Arial"/>
          </rPr>
          <t>Almighty God our Father, your generous goodness comes to us new every day. By the work of your Spirit lead us to acknowledge your goodness, give thanks for your benefits, and serve you in willing obedience; through your Son, Jesus Christ our Lord.</t>
        </r>
      </text>
    </comment>
    <comment ref="O61" authorId="0" shapeId="0" xr:uid="{00000000-0006-0000-0400-00000C010000}">
      <text>
        <r>
          <rPr>
            <sz val="10"/>
            <color rgb="FF000000"/>
            <rFont val="Arial"/>
          </rPr>
          <t>Alleluia! Give thanks to the Lord, for he is good. His love endures forever. Alleluia!</t>
        </r>
      </text>
    </comment>
    <comment ref="R61" authorId="0" shapeId="0" xr:uid="{00000000-0006-0000-0400-00000D010000}">
      <text>
        <r>
          <rPr>
            <sz val="10"/>
            <color rgb="FF000000"/>
            <rFont val="Arial"/>
          </rPr>
          <t>The Israelites were reminded to remember the Lord and thank him for his deliverance.</t>
        </r>
      </text>
    </comment>
    <comment ref="S61" authorId="0" shapeId="0" xr:uid="{00000000-0006-0000-0400-00000E010000}">
      <text>
        <r>
          <rPr>
            <sz val="10"/>
            <color rgb="FF000000"/>
            <rFont val="Arial"/>
          </rPr>
          <t>The Apostle Paul is thankful to the Philippians for their gifts and prayers.</t>
        </r>
      </text>
    </comment>
    <comment ref="T61" authorId="0" shapeId="0" xr:uid="{00000000-0006-0000-0400-00000F010000}">
      <text>
        <r>
          <rPr>
            <sz val="10"/>
            <color rgb="FF000000"/>
            <rFont val="Arial"/>
          </rPr>
          <t>Ten lepers were cleansed, but only one remembered to return to Jesus and give thanks.</t>
        </r>
      </text>
    </comment>
    <comment ref="M62" authorId="0" shapeId="0" xr:uid="{00000000-0006-0000-0400-000010010000}">
      <text>
        <r>
          <rPr>
            <sz val="10"/>
            <color rgb="FF000000"/>
            <rFont val="Arial"/>
          </rPr>
          <t>Prepare the Way!
The Christian Church watches and waits for our Lord's return. We can see the signs that his coming is near, but we don't know when he will appear. We know that when he comes, he is coming to deliver us and take us to be with him in heaven. We prepare the way for this coming, as we throw off all distractions and remain focused on his return.</t>
        </r>
      </text>
    </comment>
    <comment ref="N62" authorId="0" shapeId="0" xr:uid="{00000000-0006-0000-0400-000011010000}">
      <text>
        <r>
          <rPr>
            <sz val="10"/>
            <color rgb="FF000000"/>
            <rFont val="Arial"/>
          </rPr>
          <t>Stir up your power, O Lord, and come. Protect us by your strength and save us from the threatening dangers of our sins; for you live and reign with the Father and the Holy Spirit, one God, now and forever.</t>
        </r>
      </text>
    </comment>
    <comment ref="O62" authorId="0" shapeId="0" xr:uid="{00000000-0006-0000-0400-000012010000}">
      <text>
        <r>
          <rPr>
            <sz val="10"/>
            <color rgb="FF000000"/>
            <rFont val="Arial"/>
          </rPr>
          <t>Alleluia! He who testifies to these things says, "Yes, I am coming soon." Amen. Come, Lord Jesus. Alleluia!</t>
        </r>
      </text>
    </comment>
    <comment ref="R62" authorId="0" shapeId="0" xr:uid="{00000000-0006-0000-0400-000013010000}">
      <text>
        <r>
          <rPr>
            <sz val="10"/>
            <color rgb="FF000000"/>
            <rFont val="Arial"/>
          </rPr>
          <t>We look forward eagerly to the coming of the Lord, our righteousness.</t>
        </r>
      </text>
    </comment>
    <comment ref="S62" authorId="0" shapeId="0" xr:uid="{00000000-0006-0000-0400-000014010000}">
      <text>
        <r>
          <rPr>
            <sz val="10"/>
            <color rgb="FF000000"/>
            <rFont val="Arial"/>
          </rPr>
          <t>Stay focused and alert, so that you are prepared to meet the Lord when he comes.</t>
        </r>
      </text>
    </comment>
    <comment ref="T62" authorId="0" shapeId="0" xr:uid="{00000000-0006-0000-0400-000015010000}">
      <text>
        <r>
          <rPr>
            <sz val="10"/>
            <color rgb="FF000000"/>
            <rFont val="Arial"/>
          </rPr>
          <t>Watch for signs that the Lord's coming is near, and don't allow yourself to be distracted, as you wait for his return.</t>
        </r>
      </text>
    </comment>
    <comment ref="M63" authorId="0" shapeId="0" xr:uid="{00000000-0006-0000-0400-000016010000}">
      <text>
        <r>
          <rPr>
            <sz val="10"/>
            <color rgb="FF000000"/>
            <rFont val="Arial"/>
          </rPr>
          <t>Ready for Christmas: With a desire for righteousness
Jesus said, "Blessed are those who hunger and thirst for righteousness, for they will be filled." We crave a right relationship with God, but we know that we have not acted in righteousness. We are ready for Christmas when we look the Lord to be our Righteousness and to give us the righteousness that makes us right with him.</t>
        </r>
      </text>
    </comment>
    <comment ref="N63" authorId="0" shapeId="0" xr:uid="{00000000-0006-0000-0400-000017010000}">
      <text>
        <r>
          <rPr>
            <sz val="10"/>
            <color rgb="FF000000"/>
            <rFont val="Arial"/>
          </rPr>
          <t>Stir up your power, O Lord, and come. Protect us by your strength and save us from the threatening dangers of our sins; for you live and reign with the Father and the Holy Spirit, one God, now and forever.</t>
        </r>
      </text>
    </comment>
    <comment ref="R63" authorId="0" shapeId="0" xr:uid="{00000000-0006-0000-0400-000018010000}">
      <text>
        <r>
          <rPr>
            <sz val="10"/>
            <color rgb="FF000000"/>
            <rFont val="Arial"/>
          </rPr>
          <t>God's people will rejoice when God's righteousness is revealed.</t>
        </r>
      </text>
    </comment>
    <comment ref="S63" authorId="0" shapeId="0" xr:uid="{00000000-0006-0000-0400-000019010000}">
      <text>
        <r>
          <rPr>
            <sz val="10"/>
            <color rgb="FF000000"/>
            <rFont val="Arial"/>
          </rPr>
          <t>Righteousness is not achieved through obedience to the law. The righteousness God demands from us is the righteousness he gives us through faith in Jesus.</t>
        </r>
      </text>
    </comment>
    <comment ref="T63" authorId="0" shapeId="0" xr:uid="{00000000-0006-0000-0400-00001A010000}">
      <text>
        <r>
          <rPr>
            <sz val="10"/>
            <color rgb="FF000000"/>
            <rFont val="Arial"/>
          </rPr>
          <t>Jesus instructs us to seek first the kingdom of God and his righteousness.</t>
        </r>
      </text>
    </comment>
    <comment ref="M64" authorId="0" shapeId="0" xr:uid="{00000000-0006-0000-0400-00001B010000}">
      <text>
        <r>
          <rPr>
            <sz val="10"/>
            <color rgb="FF000000"/>
            <rFont val="Arial"/>
          </rPr>
          <t>Prepare the Way!
John the Baptist prepared the way for the coming Christ. He called people to turn from their sins in repentance and to do what was good and right.
We prepare the way for Jesus, as we reflect upon our sins, confess them, and turn away from them in a new life of obedience.</t>
        </r>
      </text>
    </comment>
    <comment ref="N64" authorId="0" shapeId="0" xr:uid="{00000000-0006-0000-0400-00001C010000}">
      <text>
        <r>
          <rPr>
            <sz val="10"/>
            <color rgb="FF000000"/>
            <rFont val="Arial"/>
          </rPr>
          <t>Stir up our hearts, O Lord, to prepare the way for your only Son. By his coming give us strength in our conflicts and shed light on our path through the darkness of this world; through your Son, Jesus Christ our Lord, who lives and reigns with you and the Holy Spirit, one God, now and forever.</t>
        </r>
      </text>
    </comment>
    <comment ref="O64" authorId="0" shapeId="0" xr:uid="{00000000-0006-0000-0400-00001D010000}">
      <text>
        <r>
          <rPr>
            <sz val="10"/>
            <color rgb="FF000000"/>
            <rFont val="Arial"/>
          </rPr>
          <t>Alleluia! Prepare the way for the Lord, make straight paths for him. All mankind will see God's salvation. Alleluia!</t>
        </r>
      </text>
    </comment>
    <comment ref="R64" authorId="0" shapeId="0" xr:uid="{00000000-0006-0000-0400-00001E010000}">
      <text>
        <r>
          <rPr>
            <sz val="10"/>
            <color rgb="FF000000"/>
            <rFont val="Arial"/>
          </rPr>
          <t>The forerunner of the Messiah will prepare the way for his coming.</t>
        </r>
      </text>
    </comment>
    <comment ref="S64" authorId="0" shapeId="0" xr:uid="{00000000-0006-0000-0400-00001F010000}">
      <text>
        <r>
          <rPr>
            <sz val="10"/>
            <color rgb="FF000000"/>
            <rFont val="Arial"/>
          </rPr>
          <t>Be filled with righteousness and rejoicing, as you wait for the Lord's coming.</t>
        </r>
      </text>
    </comment>
    <comment ref="T64" authorId="0" shapeId="0" xr:uid="{00000000-0006-0000-0400-000020010000}">
      <text>
        <r>
          <rPr>
            <sz val="10"/>
            <color rgb="FF000000"/>
            <rFont val="Arial"/>
          </rPr>
          <t>John the Baptism prepared the way by calling the people to repent of their sin.</t>
        </r>
      </text>
    </comment>
    <comment ref="M65" authorId="0" shapeId="0" xr:uid="{00000000-0006-0000-0400-000021010000}">
      <text>
        <r>
          <rPr>
            <sz val="10"/>
            <color rgb="FF000000"/>
            <rFont val="Arial"/>
          </rPr>
          <t>Ready for Christmas: With a repentant heart
We long for Christmas because we long for a Savior. Our heart is broken because of our sin, and only our Redeemer can heal us and forgive us. We are ready for Christmas when our penitent hearts are eager to receive the Lord's messenger who proclaims the good news of forgiveness.</t>
        </r>
      </text>
    </comment>
    <comment ref="N65" authorId="0" shapeId="0" xr:uid="{00000000-0006-0000-0400-000022010000}">
      <text>
        <r>
          <rPr>
            <sz val="10"/>
            <color rgb="FF000000"/>
            <rFont val="Arial"/>
          </rPr>
          <t>Stir up our hearts, O Lord, to prepare the way for your only Son. By his coming give us strength in our conflicts and shed light on our path through the darkness of this world; through your Son, Jesus Christ our Lord, who lives and reigns with you and the Holy Spirit, one God, now and forever.</t>
        </r>
      </text>
    </comment>
    <comment ref="R65" authorId="0" shapeId="0" xr:uid="{00000000-0006-0000-0400-000023010000}">
      <text>
        <r>
          <rPr>
            <sz val="10"/>
            <color rgb="FF000000"/>
            <rFont val="Arial"/>
          </rPr>
          <t>The Prophet Isaiah invites us to return to the Lord in repentance and to feast at his banquet.</t>
        </r>
      </text>
    </comment>
    <comment ref="S65" authorId="0" shapeId="0" xr:uid="{00000000-0006-0000-0400-000024010000}">
      <text>
        <r>
          <rPr>
            <sz val="10"/>
            <color rgb="FF000000"/>
            <rFont val="Arial"/>
          </rPr>
          <t>Repentance is not just for everyone else. Paul teaches us to examine our hearts and turn away from our sins.</t>
        </r>
      </text>
    </comment>
    <comment ref="T65" authorId="0" shapeId="0" xr:uid="{00000000-0006-0000-0400-000025010000}">
      <text>
        <r>
          <rPr>
            <sz val="10"/>
            <color rgb="FF000000"/>
            <rFont val="Arial"/>
          </rPr>
          <t>John the Baptist calls on people to prepare to meet the Lord with penitent hearts.</t>
        </r>
      </text>
    </comment>
    <comment ref="M66" authorId="0" shapeId="0" xr:uid="{00000000-0006-0000-0400-000026010000}">
      <text>
        <r>
          <rPr>
            <sz val="10"/>
            <color rgb="FF000000"/>
            <rFont val="Arial"/>
          </rPr>
          <t>Prepare the Way!
As we prepare for the Savior's coming, our hearts are filled with joy. The peace, comfort, and forgiveness for our sins are exactly what we need more than anything, and our souls thrill to receive the gifts he brings. As we prepare the way, we prepare to greet our Savior with joy and gladness!</t>
        </r>
      </text>
    </comment>
    <comment ref="N66" authorId="0" shapeId="0" xr:uid="{00000000-0006-0000-0400-000027010000}">
      <text>
        <r>
          <rPr>
            <sz val="10"/>
            <color rgb="FF000000"/>
            <rFont val="Arial"/>
          </rPr>
          <t>Hear our prayers, lord Jesus Christ, and come with the good news of your mighty deliverance. Drive the darkness from our hearts and fill us with your light; for you live and reign with the Father and the Holy Spirit, one God, now and forever.</t>
        </r>
      </text>
    </comment>
    <comment ref="O66" authorId="0" shapeId="0" xr:uid="{00000000-0006-0000-0400-000028010000}">
      <text>
        <r>
          <rPr>
            <sz val="10"/>
            <color rgb="FF000000"/>
            <rFont val="Arial"/>
          </rPr>
          <t>Alleluia! I will send my messenger ahead of you, who will prepare your way before you. Alleluia!</t>
        </r>
      </text>
    </comment>
    <comment ref="R66" authorId="0" shapeId="0" xr:uid="{00000000-0006-0000-0400-000029010000}">
      <text>
        <r>
          <rPr>
            <sz val="10"/>
            <color rgb="FF000000"/>
            <rFont val="Arial"/>
          </rPr>
          <t>We celebrate the good news and look forward to the Messiah's coming with joy and eager anticipation.</t>
        </r>
      </text>
    </comment>
    <comment ref="S66" authorId="0" shapeId="0" xr:uid="{00000000-0006-0000-0400-00002A010000}">
      <text>
        <r>
          <rPr>
            <sz val="10"/>
            <color rgb="FF000000"/>
            <rFont val="Arial"/>
          </rPr>
          <t>Rejoice in the Lord always. The Lord is near.</t>
        </r>
      </text>
    </comment>
    <comment ref="T66" authorId="0" shapeId="0" xr:uid="{00000000-0006-0000-0400-00002B010000}">
      <text>
        <r>
          <rPr>
            <sz val="10"/>
            <color rgb="FF000000"/>
            <rFont val="Arial"/>
          </rPr>
          <t>Turn away from a sinful life and do what is good.</t>
        </r>
      </text>
    </comment>
    <comment ref="M67" authorId="0" shapeId="0" xr:uid="{00000000-0006-0000-0400-00002C010000}">
      <text>
        <r>
          <rPr>
            <sz val="10"/>
            <color rgb="FF000000"/>
            <rFont val="Arial"/>
          </rPr>
          <t>Ready for Christmas: With eager anticipation!
The day is getting closer. The day of our Savior's birth is drawing near. Arise and shine! We eagerly wait for Jesus' coming because when he comes he will bring everything that our hearts desire and satisfy the deepest cravings of our souls with his forgiveness, comfort and peace.</t>
        </r>
      </text>
    </comment>
    <comment ref="N67" authorId="0" shapeId="0" xr:uid="{00000000-0006-0000-0400-00002D010000}">
      <text>
        <r>
          <rPr>
            <sz val="10"/>
            <color rgb="FF000000"/>
            <rFont val="Arial"/>
          </rPr>
          <t>Hear our prayers, lord Jesus Christ, and come with the good news of your mighty deliverance. Drive the darkness from our hearts and fill us with your light; for you live and reign with the Father and the Holy Spirit, one God, now and forever.</t>
        </r>
      </text>
    </comment>
    <comment ref="R67" authorId="0" shapeId="0" xr:uid="{00000000-0006-0000-0400-00002E010000}">
      <text>
        <r>
          <rPr>
            <sz val="10"/>
            <color rgb="FF000000"/>
            <rFont val="Arial"/>
          </rPr>
          <t>God's people eagerly await the time when we will inherit salvation.</t>
        </r>
      </text>
    </comment>
    <comment ref="S67" authorId="0" shapeId="0" xr:uid="{00000000-0006-0000-0400-00002F010000}">
      <text>
        <r>
          <rPr>
            <sz val="10"/>
            <color rgb="FF000000"/>
            <rFont val="Arial"/>
          </rPr>
          <t>Build one another up in the most holy faith, while you wait for salvation to be revealed.</t>
        </r>
      </text>
    </comment>
    <comment ref="T67" authorId="0" shapeId="0" xr:uid="{00000000-0006-0000-0400-000030010000}">
      <text>
        <r>
          <rPr>
            <sz val="10"/>
            <color rgb="FF000000"/>
            <rFont val="Arial"/>
          </rPr>
          <t>Mary rejoices in God's salvation and eagerly awaits the fulfillment of his promises.</t>
        </r>
      </text>
    </comment>
    <comment ref="M68" authorId="0" shapeId="0" xr:uid="{00000000-0006-0000-0400-000031010000}">
      <text>
        <r>
          <rPr>
            <sz val="10"/>
            <color rgb="FF000000"/>
            <rFont val="Arial"/>
          </rPr>
          <t>Prepare the Way!
After a long wait, the time has finally come. The stage is set. Everything is in place. The arrival of the world's Savior is at hand.
This is the special time we have been waiting for. Anticipation for Christmas has been growing. Now everything is in place for our celebration of our Savior's birth. The way is prepared, and we are thrilled finally to meet him.</t>
        </r>
      </text>
    </comment>
    <comment ref="N68" authorId="0" shapeId="0" xr:uid="{00000000-0006-0000-0400-000032010000}">
      <text>
        <r>
          <rPr>
            <sz val="10"/>
            <color rgb="FF000000"/>
            <rFont val="Arial"/>
          </rPr>
          <t>Stir up your power, O Lord, and come. Take away the burden of our sins and make us ready for the celebration of your birth, that we may receive you in joy and serve you always; for you live and reign with the Father and the Holy Spirit, one God, now and forever.</t>
        </r>
      </text>
    </comment>
    <comment ref="O68" authorId="0" shapeId="0" xr:uid="{00000000-0006-0000-0400-000033010000}">
      <text>
        <r>
          <rPr>
            <sz val="10"/>
            <color rgb="FF000000"/>
            <rFont val="Arial"/>
          </rPr>
          <t>Alleluia! The virgin will be with child and will give birth to a son, and they will call him Emmanuel. Alleluia!</t>
        </r>
      </text>
    </comment>
    <comment ref="R68" authorId="0" shapeId="0" xr:uid="{00000000-0006-0000-0400-000034010000}">
      <text>
        <r>
          <rPr>
            <sz val="10"/>
            <color rgb="FF000000"/>
            <rFont val="Arial"/>
          </rPr>
          <t>The little town of Bethlehem was to be the birthplace of the promised Messiah.</t>
        </r>
      </text>
    </comment>
    <comment ref="S68" authorId="0" shapeId="0" xr:uid="{00000000-0006-0000-0400-000035010000}">
      <text>
        <r>
          <rPr>
            <sz val="10"/>
            <color rgb="FF000000"/>
            <rFont val="Arial"/>
          </rPr>
          <t>God took on human flesh and entered our world in fulfillment of the prophecy.</t>
        </r>
      </text>
    </comment>
    <comment ref="T68" authorId="0" shapeId="0" xr:uid="{00000000-0006-0000-0400-000036010000}">
      <text>
        <r>
          <rPr>
            <sz val="10"/>
            <color rgb="FF000000"/>
            <rFont val="Arial"/>
          </rPr>
          <t>The Angel Gabriel announces to Mary that she will be the mother of the Savior.</t>
        </r>
      </text>
    </comment>
    <comment ref="B69" authorId="0" shapeId="0" xr:uid="{00000000-0006-0000-0400-000037010000}">
      <text>
        <r>
          <rPr>
            <sz val="10"/>
            <color rgb="FF000000"/>
            <rFont val="Arial"/>
          </rPr>
          <t>4:00 p.m. and
6:00 p.m.</t>
        </r>
      </text>
    </comment>
    <comment ref="N69" authorId="0" shapeId="0" xr:uid="{00000000-0006-0000-0400-000038010000}">
      <text>
        <r>
          <rPr>
            <sz val="10"/>
            <color rgb="FF000000"/>
            <rFont val="Arial"/>
          </rPr>
          <t>Stir up your power, O Lord, and come. Take away the burden of our sins and make us ready for the celebration of your birth, that we may receive you in joy and serve you always; for you live and reign with the Father and the Holy Spirit, one God, now and forever.</t>
        </r>
      </text>
    </comment>
    <comment ref="B70" authorId="0" shapeId="0" xr:uid="{00000000-0006-0000-0400-000039010000}">
      <text>
        <r>
          <rPr>
            <sz val="10"/>
            <color rgb="FF000000"/>
            <rFont val="Arial"/>
          </rPr>
          <t>5:00 and 6:30 p.m.</t>
        </r>
      </text>
    </comment>
    <comment ref="M70" authorId="0" shapeId="0" xr:uid="{00000000-0006-0000-0400-00003A010000}">
      <text>
        <r>
          <rPr>
            <sz val="10"/>
            <color rgb="FF000000"/>
            <rFont val="Arial"/>
          </rPr>
          <t>On Christmas Night All Christians Sing!
That's what Christians do at Christmas: we sing! The eve of our Savior's birth is a time for celebration. With joyful hearts and songs on our lips we celebrate the long-expected birth of our Savior.
The service of lessons and carols tells the story of God's salvation from the earliest days of prophecy all the way up to Jesus' birth in Bethlehem. God's people respond joyfully to each lesson with songs of praise. We pray that God's Word in lesson and song fills your heart with joy, comfort, and peace, as you prepare a place in your heart to welcome the baby Jesus!</t>
        </r>
      </text>
    </comment>
    <comment ref="N70" authorId="0" shapeId="0" xr:uid="{00000000-0006-0000-0400-00003B010000}">
      <text>
        <r>
          <rPr>
            <sz val="10"/>
            <color rgb="FF000000"/>
            <rFont val="Arial"/>
          </rPr>
          <t>Almighty God, you made this holy night shine with the brightness of the true light. Grant that as we have known on earth the wonder of that light, we may also behold him in all his glory in the life to come; through your only Son, Jesus Christ our Lord, who lives and reigns with you and the Holy Spirit, one God, now and forever.</t>
        </r>
      </text>
    </comment>
    <comment ref="B71" authorId="0" shapeId="0" xr:uid="{00000000-0006-0000-0400-00003C010000}">
      <text>
        <r>
          <rPr>
            <sz val="10"/>
            <color rgb="FF000000"/>
            <rFont val="Arial"/>
          </rPr>
          <t>3:30 and 8:00 p.m.</t>
        </r>
      </text>
    </comment>
    <comment ref="M71" authorId="0" shapeId="0" xr:uid="{00000000-0006-0000-0400-00003D010000}">
      <text>
        <r>
          <rPr>
            <sz val="10"/>
            <color rgb="FF000000"/>
            <rFont val="Arial"/>
          </rPr>
          <t>A Light Shining in Darkness: Grace revealed!
What is love? Can love be touched or measured? Can love be seen with our eyes or experienced with our senses?
The Bible says, "The grace of God has appeared to all people." Jesus Christ is love personified. The Christ Child is God's gift of perfect love that reveals God's loving heart for all people. God wants us to embrace his gift, hold Jesus in our hearts, and experience the full extent of his love.</t>
        </r>
      </text>
    </comment>
    <comment ref="N71" authorId="0" shapeId="0" xr:uid="{00000000-0006-0000-0400-00003E010000}">
      <text>
        <r>
          <rPr>
            <sz val="10"/>
            <color rgb="FF000000"/>
            <rFont val="Arial"/>
          </rPr>
          <t>Almighty God, you made this holy night shine with the brightness of the true light. Grant that as we have known on earth the wonder of that light, we may also behold him in all his glory in the life to come; through your only Son, Jesus Christ our Lord, who lives and reigns with you and the Holy Spirit, one God, now and forever.</t>
        </r>
      </text>
    </comment>
    <comment ref="O71" authorId="0" shapeId="0" xr:uid="{00000000-0006-0000-0400-00003F010000}">
      <text>
        <r>
          <rPr>
            <sz val="10"/>
            <color rgb="FF000000"/>
            <rFont val="Arial"/>
          </rPr>
          <t>Alleluia! Today in the town of David a Savior has been born to you; he is Christ the Lord. Alleluia!</t>
        </r>
      </text>
    </comment>
    <comment ref="R71" authorId="0" shapeId="0" xr:uid="{00000000-0006-0000-0400-000040010000}">
      <text>
        <r>
          <rPr>
            <sz val="10"/>
            <color rgb="FF000000"/>
            <rFont val="Arial"/>
          </rPr>
          <t>The people walking in darkness have seen a great light.</t>
        </r>
      </text>
    </comment>
    <comment ref="S71" authorId="0" shapeId="0" xr:uid="{00000000-0006-0000-0400-000041010000}">
      <text>
        <r>
          <rPr>
            <sz val="10"/>
            <color rgb="FF000000"/>
            <rFont val="Arial"/>
          </rPr>
          <t>The grace of God has appeared to all mankind.</t>
        </r>
      </text>
    </comment>
    <comment ref="T71" authorId="0" shapeId="0" xr:uid="{00000000-0006-0000-0400-000042010000}">
      <text>
        <r>
          <rPr>
            <sz val="10"/>
            <color rgb="FF000000"/>
            <rFont val="Arial"/>
          </rPr>
          <t>The birth of Jesus revealed the glory of God in the face of Christ.</t>
        </r>
      </text>
    </comment>
    <comment ref="M72" authorId="0" shapeId="0" xr:uid="{00000000-0006-0000-0400-000043010000}">
      <text>
        <r>
          <rPr>
            <sz val="10"/>
            <color rgb="FF000000"/>
            <rFont val="Arial"/>
          </rPr>
          <t>A Light Shining in Darkness: The Incarnation of God
Christmas is a wonderful time for family and friends to get together. It's a time for celebration, feasting, giving gifts and exchanging greetings. But all of these holiday delights are occasioned by one event: At Christmas we celebrate the birth of Jesus, the incarnate God.
The importance of this baby in the manger defies human comprehension. He who is eternal and boundless entered time and space. He who made all things became one with his creation. He who  is immortal became our brother in the flesh so that he could walk in our shoes and die our death.
The Light is shining in the darkness! Come to Bethlehem and gaze with awe into the face of the Christ Child. Kneel before the manger and gaze into the face of God.</t>
        </r>
      </text>
    </comment>
    <comment ref="N72" authorId="0" shapeId="0" xr:uid="{00000000-0006-0000-0400-000044010000}">
      <text>
        <r>
          <rPr>
            <sz val="10"/>
            <color rgb="FF000000"/>
            <rFont val="Arial"/>
          </rPr>
          <t>Almighty God, grant that the birth of your only Son in the flesh may set us free from our old bondage under the yoke of sin; through Jesus Christ our Lord, who lives and reigns with you and the Holy spirit, one God, now and forever.</t>
        </r>
      </text>
    </comment>
    <comment ref="O72" authorId="0" shapeId="0" xr:uid="{00000000-0006-0000-0400-000045010000}">
      <text>
        <r>
          <rPr>
            <sz val="10"/>
            <color rgb="FF000000"/>
            <rFont val="Arial"/>
          </rPr>
          <t>Alleluia! When the time had fully come, God sent his Son, born of a woman, born under law, to redeem those under law. Alleluia!</t>
        </r>
      </text>
    </comment>
    <comment ref="R72" authorId="0" shapeId="0" xr:uid="{00000000-0006-0000-0400-000046010000}">
      <text>
        <r>
          <rPr>
            <sz val="10"/>
            <color rgb="FF000000"/>
            <rFont val="Arial"/>
          </rPr>
          <t>How beautiful are the feet of those who proclaim the good news of victory and salvation!</t>
        </r>
      </text>
    </comment>
    <comment ref="S72" authorId="0" shapeId="0" xr:uid="{00000000-0006-0000-0400-000047010000}">
      <text>
        <r>
          <rPr>
            <sz val="10"/>
            <color rgb="FF000000"/>
            <rFont val="Arial"/>
          </rPr>
          <t>Jesus is the radiance of God's glory who clothed himself with human flesh to become our brother.</t>
        </r>
      </text>
    </comment>
    <comment ref="T72" authorId="0" shapeId="0" xr:uid="{00000000-0006-0000-0400-000048010000}">
      <text>
        <r>
          <rPr>
            <sz val="10"/>
            <color rgb="FF000000"/>
            <rFont val="Arial"/>
          </rPr>
          <t>The Word became flesh and made his dwelling among us.</t>
        </r>
      </text>
    </comment>
    <comment ref="M73" authorId="0" shapeId="0" xr:uid="{00000000-0006-0000-0400-000049010000}">
      <text>
        <r>
          <rPr>
            <sz val="10"/>
            <color rgb="FF000000"/>
            <rFont val="Arial"/>
          </rPr>
          <t>A Light Shining in Darkness: Jesus frees us from our enemies!
Jesus, our brother born in Bethlehem, came as our strong deliver. He came to rescue us from our sins and free us from all the enemies of our soul. Death, Satan, and hell are robbed of their power by the coming of Jesus, the Light shining in darkness.</t>
        </r>
      </text>
    </comment>
    <comment ref="N73" authorId="0" shapeId="0" xr:uid="{00000000-0006-0000-0400-00004A010000}">
      <text>
        <r>
          <rPr>
            <sz val="10"/>
            <color rgb="FF000000"/>
            <rFont val="Arial"/>
          </rPr>
          <t>Almighty God, in mercy you sent your one and only Son to take upon himself our human nature. By his gracious coming deliver us from the corruption of our sin and transform us into the likeness of his glory; through Jesus Christ our Lord, who lives and reigns with you and the Holy Spirit, one God, now and forever.</t>
        </r>
      </text>
    </comment>
    <comment ref="O73" authorId="0" shapeId="0" xr:uid="{00000000-0006-0000-0400-00004B010000}">
      <text>
        <r>
          <rPr>
            <sz val="10"/>
            <color rgb="FF000000"/>
            <rFont val="Arial"/>
          </rPr>
          <t>Alleluia! Let the peace of Christ rule in your hearts. Alleluia!</t>
        </r>
      </text>
    </comment>
    <comment ref="R73" authorId="0" shapeId="0" xr:uid="{00000000-0006-0000-0400-00004C010000}">
      <text>
        <r>
          <rPr>
            <sz val="10"/>
            <color rgb="FF000000"/>
            <rFont val="Arial"/>
          </rPr>
          <t>The boy Samuel was an answer to his mother Hannah's prayers.</t>
        </r>
      </text>
    </comment>
    <comment ref="S73" authorId="0" shapeId="0" xr:uid="{00000000-0006-0000-0400-00004D010000}">
      <text>
        <r>
          <rPr>
            <sz val="10"/>
            <color rgb="FF000000"/>
            <rFont val="Arial"/>
          </rPr>
          <t>Jesus came to rescue us and set us free from our captors.</t>
        </r>
      </text>
    </comment>
    <comment ref="T73" authorId="0" shapeId="0" xr:uid="{00000000-0006-0000-0400-00004E010000}">
      <text>
        <r>
          <rPr>
            <sz val="10"/>
            <color rgb="FF000000"/>
            <rFont val="Arial"/>
          </rPr>
          <t>Jesus knew the Scripture and explained the Scripture correctly.</t>
        </r>
      </text>
    </comment>
    <comment ref="M74" authorId="0" shapeId="0" xr:uid="{00000000-0006-0000-0400-00004F010000}">
      <text>
        <r>
          <rPr>
            <sz val="10"/>
            <color rgb="FF000000"/>
            <rFont val="Arial"/>
          </rPr>
          <t>A Light Shining in Darkness: A fresh start! A new beginning!
The changing of the calendar reminds us that the old is behind us. Yesterday is gone. The new stands before us: new opportunities, new resolutions, new hopes, new dreams!
We cannot erase our past, but Jesus can. We cannot blot out our sins, but Jesus has. With a clean slate that has been purified by our Savior, we look forward to a new year of blessings and a new year of life dedicated to purifying ourselves for serving our Savior, the Light who shines in darkness and brings us the light of life.</t>
        </r>
      </text>
    </comment>
    <comment ref="N74" authorId="0" shapeId="0" xr:uid="{00000000-0006-0000-0400-000050010000}">
      <text>
        <r>
          <rPr>
            <sz val="10"/>
            <color rgb="FF000000"/>
            <rFont val="Arial"/>
          </rPr>
          <t>Eternal Father, before whom all generations rise and fall, teach us to think earnestly on the brevity of our lives and on the immensity of your goodness. Help us to enter the new year trusting in the name of your Son and walking in the way of his peace; through Jesus Christ our Lord, who lives and reigns with you and the Holy Spirit, one God, now and forever.</t>
        </r>
      </text>
    </comment>
    <comment ref="O74" authorId="0" shapeId="0" xr:uid="{00000000-0006-0000-0400-000051010000}">
      <text>
        <r>
          <rPr>
            <sz val="10"/>
            <color rgb="FF000000"/>
            <rFont val="Arial"/>
          </rPr>
          <t>Alleluia! Your word is a lamp to my feet and a light for my path. Alleluia!</t>
        </r>
      </text>
    </comment>
    <comment ref="R74" authorId="0" shapeId="0" xr:uid="{00000000-0006-0000-0400-000052010000}">
      <text>
        <r>
          <rPr>
            <sz val="10"/>
            <color rgb="FF000000"/>
            <rFont val="Arial"/>
          </rPr>
          <t>The passing of the year reminds us that the day of our salvation is drawing near.</t>
        </r>
      </text>
    </comment>
    <comment ref="S74" authorId="0" shapeId="0" xr:uid="{00000000-0006-0000-0400-000053010000}">
      <text>
        <r>
          <rPr>
            <sz val="10"/>
            <color rgb="FF000000"/>
            <rFont val="Arial"/>
          </rPr>
          <t>We bloom and fade like flowers, and we wither like grass, but God's Word endures forever.</t>
        </r>
      </text>
    </comment>
    <comment ref="T74" authorId="0" shapeId="0" xr:uid="{00000000-0006-0000-0400-000054010000}">
      <text>
        <r>
          <rPr>
            <sz val="10"/>
            <color rgb="FF000000"/>
            <rFont val="Arial"/>
          </rPr>
          <t>Another year brings new opportunities to produce the fruit of repentance and faith.</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L37" authorId="0" shapeId="0" xr:uid="{00000000-0006-0000-0500-000001000000}">
      <text>
        <r>
          <rPr>
            <sz val="10"/>
            <color rgb="FF000000"/>
            <rFont val="Arial"/>
          </rPr>
          <t>The Church's members patiently wait for Christ's judgment
Having reviewed the great events of the life of Christ, the second half of the Christian Year gives us opportunity to focus on Christ's Church. The members of Christ's Church live and work in an unbelieving world. If Christians are good wheat, they are surrounded on all sides by weeds. Rather than growing impatient and rather than taking things into our own hands, the Church's members confidently wait for Christ's judgment on the Last Day. Then the wheat will be gathered into the barn. Then the weeds will be thrown into the fire.</t>
        </r>
      </text>
    </comment>
    <comment ref="M37" authorId="0" shapeId="0" xr:uid="{00000000-0006-0000-0500-000002000000}">
      <text>
        <r>
          <rPr>
            <sz val="10"/>
            <color rgb="FF000000"/>
            <rFont val="Arial"/>
          </rPr>
          <t>Grant us, Lord, the spirit to think and do what is right, that we, who cannot do anything that is good without you, may by your help be enabled to live according to your will; through Jesus Christ, your Son, our Lord, who lives and reigns with you and the Holy Spirit, one God, now and forever.</t>
        </r>
      </text>
    </comment>
    <comment ref="N37" authorId="0" shapeId="0" xr:uid="{00000000-0006-0000-0500-000003000000}">
      <text>
        <r>
          <rPr>
            <sz val="10"/>
            <color rgb="FF000000"/>
            <rFont val="Arial"/>
          </rPr>
          <t>Alleluia! My Word will not return to me empty but will accomplish what I desire and achieve the purpose for which I sent it. Alleluia!</t>
        </r>
      </text>
    </comment>
    <comment ref="N38" authorId="0" shapeId="0" xr:uid="{00000000-0006-0000-0500-000004000000}">
      <text>
        <r>
          <rPr>
            <sz val="10"/>
            <color rgb="FF000000"/>
            <rFont val="Arial"/>
          </rPr>
          <t>Alleluia! Lord, to whom shall we go? You have the words of eternal life. Alleluia!</t>
        </r>
      </text>
    </comment>
    <comment ref="N39" authorId="0" shapeId="0" xr:uid="{00000000-0006-0000-0500-000005000000}">
      <text>
        <r>
          <rPr>
            <sz val="10"/>
            <color rgb="FF000000"/>
            <rFont val="Arial"/>
          </rPr>
          <t>Alleluia! Jesus replied, "If anyone loves me, he will obey my teaching. My Father will love him, and we will come to him and make our home with him." Alleluia!</t>
        </r>
      </text>
    </comment>
    <comment ref="L40" authorId="0" shapeId="0" xr:uid="{00000000-0006-0000-0500-000006000000}">
      <text>
        <r>
          <rPr>
            <sz val="10"/>
            <color rgb="FF000000"/>
            <rFont val="Arial"/>
          </rPr>
          <t>The Church's members trust God to protect
Having reviewed the great events of the life of Christ, the second half of the Christian Year gives us opportunity to focus on Christ's Church. The members of Christ's Church know that he who is able to command the wind and the waves is able to shield us from all the storms of life. Evidence of his great power drives all doubt from our mind. Whether he keeps us from evil, delivers us out of evil, or uses evil for our good, he remains firmly in control of all things.</t>
        </r>
      </text>
    </comment>
    <comment ref="M40" authorId="0" shapeId="0" xr:uid="{00000000-0006-0000-0500-000007000000}">
      <text>
        <r>
          <rPr>
            <sz val="10"/>
            <color rgb="FF000000"/>
            <rFont val="Arial"/>
          </rPr>
          <t>Almighty and everlasting God, you are always more ready to hear than we to pray, and to give more than we either desire or deserve. Pour upon us the abundance of your mercy, forgiving us those things of which our conscience is afraid, and giving us those good things for which we are not worthy to ask, except through the merits and mediation of your Son, Jesus Christ our Lord, who lives and reigns with you and the Holy Spirit, one God, now and forever.</t>
        </r>
      </text>
    </comment>
    <comment ref="N40" authorId="0" shapeId="0" xr:uid="{00000000-0006-0000-0500-000008000000}">
      <text>
        <r>
          <rPr>
            <sz val="10"/>
            <color rgb="FF000000"/>
            <rFont val="Arial"/>
          </rPr>
          <t>Alleluia! Now faith is being sure of what we hope for and certain of what we do not see. Alleluia! (Hebrews 11:1)</t>
        </r>
      </text>
    </comment>
    <comment ref="O40" authorId="0" shapeId="0" xr:uid="{00000000-0006-0000-0500-000009000000}">
      <text>
        <r>
          <rPr>
            <sz val="10"/>
            <color rgb="FF000000"/>
            <rFont val="Arial"/>
          </rPr>
          <t>Verse will be spoken by the pastor. Alleluia refrain is sung by the congregation.</t>
        </r>
      </text>
    </comment>
    <comment ref="R40" authorId="0" shapeId="0" xr:uid="{00000000-0006-0000-0500-00000A000000}">
      <text>
        <r>
          <rPr>
            <sz val="10"/>
            <color rgb="FF000000"/>
            <rFont val="Arial"/>
          </rPr>
          <t>When they saw the Lord's power to divide the sea, the people put their trust in him.</t>
        </r>
      </text>
    </comment>
    <comment ref="S40" authorId="0" shapeId="0" xr:uid="{00000000-0006-0000-0500-00000B000000}">
      <text>
        <r>
          <rPr>
            <sz val="10"/>
            <color rgb="FF000000"/>
            <rFont val="Arial"/>
          </rPr>
          <t>He who doubts is like a wave of the sea, blown and tossed by the wind.</t>
        </r>
      </text>
    </comment>
    <comment ref="T40" authorId="0" shapeId="0" xr:uid="{00000000-0006-0000-0500-00000C000000}">
      <text>
        <r>
          <rPr>
            <sz val="10"/>
            <color rgb="FF000000"/>
            <rFont val="Arial"/>
          </rPr>
          <t>Jesus shows his power by walking on water, but Peter shows lack of trust.</t>
        </r>
      </text>
    </comment>
    <comment ref="U40" authorId="0" shapeId="0" xr:uid="{00000000-0006-0000-0500-00000D000000}">
      <text>
        <r>
          <rPr>
            <sz val="10"/>
            <color rgb="FF000000"/>
            <rFont val="Arial"/>
          </rPr>
          <t>The pulpit side sings the first half of the verse, and the baptismal font side sings the second half. All will join to sing the refrain and the Gloria Patri.</t>
        </r>
      </text>
    </comment>
    <comment ref="V40" authorId="0" shapeId="0" xr:uid="{00000000-0006-0000-0500-00000E000000}">
      <text>
        <r>
          <rPr>
            <sz val="10"/>
            <color rgb="FF000000"/>
            <rFont val="Arial"/>
          </rPr>
          <t xml:space="preserve">CW 256 - How Great Thou Art
CW 415 - Be Still, My Soul
CW 405 - Oh, for a Faith that Will Not Shrink
Distrib: CW 313 - Jesus Christ, Our Blessed Savior
Closing: CW 422 - Jesus, Lead Us On
</t>
        </r>
      </text>
    </comment>
    <comment ref="I42" authorId="0" shapeId="0" xr:uid="{00000000-0006-0000-0500-00000F000000}">
      <text>
        <r>
          <rPr>
            <sz val="10"/>
            <color rgb="FF000000"/>
            <rFont val="Arial"/>
          </rPr>
          <t>"I'll Praise My Maker" is labeled "Musical Offering"
All sung lines by "minister" should be written in without musical notes (Gran will speak these lines)</t>
        </r>
      </text>
    </comment>
    <comment ref="L42" authorId="0" shapeId="0" xr:uid="{00000000-0006-0000-0500-000010000000}">
      <text>
        <r>
          <rPr>
            <sz val="10"/>
            <color rgb="FF000000"/>
            <rFont val="Arial"/>
          </rPr>
          <t>The Church's mission is to all nations
Having reviewed the great events of the life of Christ, the second half of the Christian Year gives us opportunity to focus on Christ's Church. That Church has an ongoing mission, and that mission is to all people. In every age and place, it is easy for Christ's Church to think only of those who look, act, and speak like us. Christ reminds us that he is the Savior of all and our mission is to bring his saving word to all.</t>
        </r>
      </text>
    </comment>
    <comment ref="M42" authorId="0" shapeId="0" xr:uid="{00000000-0006-0000-0500-000011000000}">
      <text>
        <r>
          <rPr>
            <sz val="10"/>
            <color rgb="FF000000"/>
            <rFont val="Arial"/>
          </rPr>
          <t>Almighty and merciful God, it is only by your gift of grace that we come into your presence and offer true and faithful service. Grant that our worship on earth may always be pleasing to you, and in the life to come give us the fulfillment of what you have promised; through Jesus Christ, your Son, our Lord, who lives and reigns with you and the Holy Spirit, one God, now and forever.</t>
        </r>
      </text>
    </comment>
    <comment ref="N42" authorId="0" shapeId="0" xr:uid="{00000000-0006-0000-0500-000012000000}">
      <text>
        <r>
          <rPr>
            <sz val="10"/>
            <color rgb="FF000000"/>
            <rFont val="Arial"/>
          </rPr>
          <t>Alleluia! The Word of God is living and active, sharper than any two-edged sword, discerning the thoughts and intentions of the heart. Alleluia!</t>
        </r>
      </text>
    </comment>
    <comment ref="O42" authorId="0" shapeId="0" xr:uid="{00000000-0006-0000-0500-000013000000}">
      <text>
        <r>
          <rPr>
            <sz val="10"/>
            <color rgb="FF000000"/>
            <rFont val="Arial"/>
          </rPr>
          <t>Verse will be spoken by the pastor. Alleluia refrain is sung by the congregation.</t>
        </r>
      </text>
    </comment>
    <comment ref="R42" authorId="0" shapeId="0" xr:uid="{00000000-0006-0000-0500-000014000000}">
      <text>
        <r>
          <rPr>
            <sz val="10"/>
            <color rgb="FF000000"/>
            <rFont val="Arial"/>
          </rPr>
          <t>Rahab, a Canaanite woman, assists Israel's spies.</t>
        </r>
      </text>
    </comment>
    <comment ref="S42" authorId="0" shapeId="0" xr:uid="{00000000-0006-0000-0500-000015000000}">
      <text>
        <r>
          <rPr>
            <sz val="10"/>
            <color rgb="FF000000"/>
            <rFont val="Arial"/>
          </rPr>
          <t>God shows mercy to all men</t>
        </r>
      </text>
    </comment>
    <comment ref="T42" authorId="0" shapeId="0" xr:uid="{00000000-0006-0000-0500-000016000000}">
      <text>
        <r>
          <rPr>
            <sz val="10"/>
            <color rgb="FF000000"/>
            <rFont val="Arial"/>
          </rPr>
          <t>A Canaanite woman exhibits great faith.</t>
        </r>
      </text>
    </comment>
    <comment ref="U42" authorId="0" shapeId="0" xr:uid="{00000000-0006-0000-0500-000017000000}">
      <text>
        <r>
          <rPr>
            <sz val="10"/>
            <color rgb="FF000000"/>
            <rFont val="Arial"/>
          </rPr>
          <t>An appeal for God's unconditional and unprejudiced mercy.
(Sara plays it on piano; see Choral Music, Psalms, PAS)</t>
        </r>
      </text>
    </comment>
    <comment ref="V42" authorId="0" shapeId="0" xr:uid="{00000000-0006-0000-0500-000018000000}">
      <text>
        <r>
          <rPr>
            <sz val="10"/>
            <color rgb="FF000000"/>
            <rFont val="Arial"/>
          </rPr>
          <t>Open: CW556 - Rise, Shine, You People
HoD: CW539 - In Christ There Is No East or West (cantor sings stanza 3; K Bode playes it)
Close: CW566 - We All Are One in Mission</t>
        </r>
      </text>
    </comment>
    <comment ref="X42" authorId="0" shapeId="0" xr:uid="{00000000-0006-0000-0500-000019000000}">
      <text>
        <r>
          <rPr>
            <sz val="10"/>
            <color rgb="FF000000"/>
            <rFont val="Arial"/>
          </rPr>
          <t>Sung during the offering at the 7:45; sung as pre-service at 9:00; text found in Choral Music, Other</t>
        </r>
      </text>
    </comment>
    <comment ref="I43" authorId="0" shapeId="0" xr:uid="{00000000-0006-0000-0500-00001A000000}">
      <text>
        <r>
          <rPr>
            <sz val="10"/>
            <color rgb="FF000000"/>
            <rFont val="Arial"/>
          </rPr>
          <t>Omit: Sung Kyrie and Create in Me
Replace the "Gloria" with stanzas one and four of "My Hope is Built on Nothing Less" (found in Choral Music,
Hymns, "My Hope is Built Stanza 1 and 4")
Side note for "My Hope is Built": In August this hymn began our stewardship Sunday celebration. It reminds us
that our work as a church is futile unless it is grounded in Jesus, our rock and our foundation.
Anthem gets placed after the gospel at the 10:30</t>
        </r>
      </text>
    </comment>
    <comment ref="L43" authorId="0" shapeId="0" xr:uid="{00000000-0006-0000-0500-00001B000000}">
      <text>
        <r>
          <rPr>
            <sz val="10"/>
            <color rgb="FF000000"/>
            <rFont val="Arial"/>
          </rPr>
          <t>The Church's mission will never fail
Having reviewed the great events of the life of Christ, the second half of the Christian Year gives us opportunity to focus on Christ's Church. That Church has an ongoing mission, and that mission will never fail. The members of Christ's Church are sealed from eternity and the best of Satan's attacks will never bring down her walls. On the last day, each and everyone of God's elect will be gathered, saved from the earth's destruction, safe from Satan's temptations.</t>
        </r>
      </text>
    </comment>
    <comment ref="M43" authorId="0" shapeId="0" xr:uid="{00000000-0006-0000-0500-00001C000000}">
      <text>
        <r>
          <rPr>
            <sz val="10"/>
            <color rgb="FF000000"/>
            <rFont val="Arial"/>
          </rPr>
          <t>Almighty and everlasting God, give us an increase of faith, hope, and love; and, that we may obtain what you promise, make us love what you command; through Jesus Christ, your Son, our Lord, who lives and reigns with you and the Holy Spirit, one God, now and forever.</t>
        </r>
      </text>
    </comment>
    <comment ref="N43" authorId="0" shapeId="0" xr:uid="{00000000-0006-0000-0500-00001D000000}">
      <text>
        <r>
          <rPr>
            <sz val="10"/>
            <color rgb="FF000000"/>
            <rFont val="Arial"/>
          </rPr>
          <t>Alleluia! Jesus Christ has destroyed death and brought life and immortality to light through the gospel. Alleluia!</t>
        </r>
      </text>
    </comment>
    <comment ref="O43" authorId="0" shapeId="0" xr:uid="{00000000-0006-0000-0500-00001E000000}">
      <text>
        <r>
          <rPr>
            <sz val="10"/>
            <color rgb="FF000000"/>
            <rFont val="Arial"/>
          </rPr>
          <t>Verse will be spoken by the pastor. Alleluia refrain is sung by the congregation.</t>
        </r>
      </text>
    </comment>
    <comment ref="R43" authorId="0" shapeId="0" xr:uid="{00000000-0006-0000-0500-00001F000000}">
      <text>
        <r>
          <rPr>
            <sz val="10"/>
            <color rgb="FF000000"/>
            <rFont val="Arial"/>
          </rPr>
          <t>Joshua sets up a memorial for God's people forever.</t>
        </r>
      </text>
    </comment>
    <comment ref="S43" authorId="0" shapeId="0" xr:uid="{00000000-0006-0000-0500-000020000000}">
      <text>
        <r>
          <rPr>
            <sz val="10"/>
            <color rgb="FF000000"/>
            <rFont val="Arial"/>
          </rPr>
          <t>The Lord knows by name and number those who are his.</t>
        </r>
      </text>
    </comment>
    <comment ref="T43" authorId="0" shapeId="0" xr:uid="{00000000-0006-0000-0500-000021000000}">
      <text>
        <r>
          <rPr>
            <sz val="10"/>
            <color rgb="FF000000"/>
            <rFont val="Arial"/>
          </rPr>
          <t>Jesus promises that his church will endure.</t>
        </r>
      </text>
    </comment>
    <comment ref="U43" authorId="0" shapeId="0" xr:uid="{00000000-0006-0000-0500-000022000000}">
      <text>
        <r>
          <rPr>
            <sz val="10"/>
            <color rgb="FF000000"/>
            <rFont val="Arial"/>
          </rPr>
          <t>The Lord will always hear the cries of his people.
(10:30 service note: K-4 sing refrain;
children/cantor sing 1st half of verse, and
people sing 2nd half; all on Gloria Patri)</t>
        </r>
      </text>
    </comment>
    <comment ref="V43" authorId="0" shapeId="0" xr:uid="{00000000-0006-0000-0500-000023000000}">
      <text>
        <r>
          <rPr>
            <sz val="10"/>
            <color rgb="FF000000"/>
            <rFont val="Arial"/>
          </rPr>
          <t>CW528 Built on the Rock
CW538 The Church's One Foundation
CW537 Onward, Christian Soldiers</t>
        </r>
      </text>
    </comment>
    <comment ref="L44" authorId="0" shapeId="0" xr:uid="{00000000-0006-0000-0500-000024000000}">
      <text>
        <r>
          <rPr>
            <sz val="10"/>
            <color rgb="FF000000"/>
            <rFont val="Arial"/>
          </rPr>
          <t>The Church's mission leads to the cross
Having reviewed the great events of the life of Christ, the second half of the Christian Year gives us opportunity to focus on Christ's Church. That Church has an ongoing mission, and that mission has always and will always include carrying a cross. Just as Christ's work as the Church's head included carrying his cross, our work as his body includes the same. While on earth, the Church's existence is characterized by a struggle. But in heaven a crown awaits.</t>
        </r>
      </text>
    </comment>
    <comment ref="M44" authorId="0" shapeId="0" xr:uid="{00000000-0006-0000-0500-000025000000}">
      <text>
        <r>
          <rPr>
            <sz val="10"/>
            <color rgb="FF000000"/>
            <rFont val="Arial"/>
          </rPr>
          <t>O Lord Jesus Christ, preserve the congregation of believers with your never-failing mercy. Help us avoid whatever is wicked and harmful, and guide us in the way that leads to our salvation; for you live and reign with the Father and the Holy Spirit, one God, now and forever.</t>
        </r>
      </text>
    </comment>
    <comment ref="N44" authorId="0" shapeId="0" xr:uid="{00000000-0006-0000-0500-000026000000}">
      <text>
        <r>
          <rPr>
            <sz val="10"/>
            <color rgb="FF000000"/>
            <rFont val="Arial"/>
          </rPr>
          <t>Alleluia! Your words became a joy to me, and the delight of my heart. Alleluia!</t>
        </r>
      </text>
    </comment>
    <comment ref="O44" authorId="0" shapeId="0" xr:uid="{00000000-0006-0000-0500-000027000000}">
      <text>
        <r>
          <rPr>
            <sz val="10"/>
            <color rgb="FF000000"/>
            <rFont val="Arial"/>
          </rPr>
          <t>Verse will be spoken by the pastor. Alleluia refrain is sung by the congregation.</t>
        </r>
      </text>
    </comment>
    <comment ref="R44" authorId="0" shapeId="0" xr:uid="{00000000-0006-0000-0500-000028000000}">
      <text>
        <r>
          <rPr>
            <sz val="10"/>
            <color rgb="FF000000"/>
            <rFont val="Arial"/>
          </rPr>
          <t>Samson kills more of God's enemies in his death than during his life.</t>
        </r>
      </text>
    </comment>
    <comment ref="S44" authorId="0" shapeId="0" xr:uid="{00000000-0006-0000-0500-000029000000}">
      <text>
        <r>
          <rPr>
            <sz val="10"/>
            <color rgb="FF000000"/>
            <rFont val="Arial"/>
          </rPr>
          <t>The Christian's only boast is in the cross of Christ.</t>
        </r>
      </text>
    </comment>
    <comment ref="T44" authorId="0" shapeId="0" xr:uid="{00000000-0006-0000-0500-00002A000000}">
      <text>
        <r>
          <rPr>
            <sz val="10"/>
            <color rgb="FF000000"/>
            <rFont val="Arial"/>
          </rPr>
          <t>The cross is necessary for Christ and for the Christian.</t>
        </r>
      </text>
    </comment>
    <comment ref="U44" authorId="0" shapeId="0" xr:uid="{00000000-0006-0000-0500-00002B000000}">
      <text>
        <r>
          <rPr>
            <sz val="10"/>
            <color rgb="FF000000"/>
            <rFont val="Arial"/>
          </rPr>
          <t>As the Church struggles under the cross, it lifts its eyes to the Lord for help.</t>
        </r>
      </text>
    </comment>
    <comment ref="V44" authorId="0" shapeId="0" xr:uid="{00000000-0006-0000-0500-00002C000000}">
      <text>
        <r>
          <rPr>
            <sz val="10"/>
            <color rgb="FF000000"/>
            <rFont val="Arial"/>
          </rPr>
          <t>CW465 Jesus, I My Cross Have Taken
CW428 Why Should Cross and Trial Grieve Me
CW345 In the Cross of Christ I Glory</t>
        </r>
      </text>
    </comment>
    <comment ref="L45" authorId="0" shapeId="0" xr:uid="{00000000-0006-0000-0500-00002D000000}">
      <text>
        <r>
          <rPr>
            <sz val="10"/>
            <color rgb="FF000000"/>
            <rFont val="Arial"/>
          </rPr>
          <t>The Church's mission is to seek the straying
Having reviewed the great events of the life of Christ, the second half of the Christian Year gives us opportunity to focus on Christ's Church. That Church has an ongoing mission, and that mission includes seeking those who stray. Though it is becoming increasingly unpopular to confront others in their sin, that is the very thing Jesus calls us to do. Out of love for their souls, we patiently and lovingly speak words of rebuke with the goal of leading them to repentance.</t>
        </r>
      </text>
    </comment>
    <comment ref="M45" authorId="0" shapeId="0" xr:uid="{00000000-0006-0000-0500-00002E000000}">
      <text>
        <r>
          <rPr>
            <sz val="10"/>
            <color rgb="FF000000"/>
            <rFont val="Arial"/>
          </rPr>
          <t>Let your continual mercy, O Lord, cleanse and defend your Church; and because it cannot continue in safety with your help, protect and govern it always by your goodness; for you live and reign with the Father and the Holy Spirit, one God, now and forever.</t>
        </r>
      </text>
    </comment>
    <comment ref="N45" authorId="0" shapeId="0" xr:uid="{00000000-0006-0000-0500-00002F000000}">
      <text>
        <r>
          <rPr>
            <sz val="10"/>
            <color rgb="FF000000"/>
            <rFont val="Arial"/>
          </rPr>
          <t>Alleluia! Rejoice in the Lord always; again I will say, Rejoice. Alleluia!</t>
        </r>
      </text>
    </comment>
    <comment ref="O45" authorId="0" shapeId="0" xr:uid="{00000000-0006-0000-0500-000030000000}">
      <text>
        <r>
          <rPr>
            <sz val="10"/>
            <color rgb="FF000000"/>
            <rFont val="Arial"/>
          </rPr>
          <t>Verse will be spoken by the pastor. Alleluia refrain is sung by the congregation.</t>
        </r>
      </text>
    </comment>
    <comment ref="R45" authorId="0" shapeId="0" xr:uid="{00000000-0006-0000-0500-000031000000}">
      <text>
        <r>
          <rPr>
            <sz val="10"/>
            <color rgb="FF000000"/>
            <rFont val="Arial"/>
          </rPr>
          <t>The watchman on the tower must warn of the coming enemy.</t>
        </r>
      </text>
    </comment>
    <comment ref="S45" authorId="0" shapeId="0" xr:uid="{00000000-0006-0000-0500-000032000000}">
      <text>
        <r>
          <rPr>
            <sz val="10"/>
            <color rgb="FF000000"/>
            <rFont val="Arial"/>
          </rPr>
          <t>Paul rebukes Peter for his sin.</t>
        </r>
      </text>
    </comment>
    <comment ref="T45" authorId="0" shapeId="0" xr:uid="{00000000-0006-0000-0500-000033000000}">
      <text>
        <r>
          <rPr>
            <sz val="10"/>
            <color rgb="FF000000"/>
            <rFont val="Arial"/>
          </rPr>
          <t>Jesus gives his Church the means and the motive to seek those who stray.</t>
        </r>
      </text>
    </comment>
    <comment ref="U45" authorId="0" shapeId="0" xr:uid="{00000000-0006-0000-0500-000034000000}">
      <text>
        <r>
          <rPr>
            <sz val="10"/>
            <color rgb="FF000000"/>
            <rFont val="Arial"/>
          </rPr>
          <t>Repentance is always the goal of seeking those who stray.</t>
        </r>
      </text>
    </comment>
    <comment ref="V45" authorId="0" shapeId="0" xr:uid="{00000000-0006-0000-0500-000035000000}">
      <text>
        <r>
          <rPr>
            <sz val="10"/>
            <color rgb="FF000000"/>
            <rFont val="Arial"/>
          </rPr>
          <t>CW308 As Sure As I Live, God Said
CW304 Jesus Sinners Does Receive
CW286 The Law Commands and Makes Us Know</t>
        </r>
      </text>
    </comment>
    <comment ref="N46" authorId="0" shapeId="0" xr:uid="{00000000-0006-0000-0500-000036000000}">
      <text>
        <r>
          <rPr>
            <sz val="10"/>
            <color rgb="FF000000"/>
            <rFont val="Arial"/>
          </rPr>
          <t>Alleluia! Everything that was written in the past was written to teach us, so that through endurance and the encouragement of the Scriptures we might have hope. Alleluia!</t>
        </r>
      </text>
    </comment>
    <comment ref="L47" authorId="0" shapeId="0" xr:uid="{00000000-0006-0000-0500-000037000000}">
      <text>
        <r>
          <rPr>
            <sz val="10"/>
            <color rgb="FF000000"/>
            <rFont val="Arial"/>
          </rPr>
          <t>The Church's Lord is inexplicably gracious
Having reviewed the great events of the life of Christ, the second half of the Christian Year gives us the opportunity to focus on Christ's Church. As we near the end of this half of the Church Year, we focus on the Church's Lord. He is generous to the point of absurdity. no degree or duration of sin can possibly disqualify a person from his free pardon. Anyone who turns to him will not be turned away.</t>
        </r>
      </text>
    </comment>
    <comment ref="M47" authorId="0" shapeId="0" xr:uid="{00000000-0006-0000-0500-000038000000}">
      <text>
        <r>
          <rPr>
            <sz val="10"/>
            <color rgb="FF000000"/>
            <rFont val="Arial"/>
          </rPr>
          <t>Lord God, you call us to work in your kingdom an leave no one standing idle. Help us to order our lives by your wisdom and to serve you in willing obedience; through Jesus Christ, your Son, our Lord, who lives and reigns with you and the Holy Spirit, one God, now and forever.</t>
        </r>
      </text>
    </comment>
    <comment ref="N47" authorId="0" shapeId="0" xr:uid="{00000000-0006-0000-0500-000039000000}">
      <text>
        <r>
          <rPr>
            <sz val="10"/>
            <color rgb="FF000000"/>
            <rFont val="Arial"/>
          </rPr>
          <t>Alleluia! My grace is sufficient for you, for my power is made perfect in weakness. Alleluia!</t>
        </r>
      </text>
    </comment>
    <comment ref="O47" authorId="0" shapeId="0" xr:uid="{00000000-0006-0000-0500-00003A000000}">
      <text>
        <r>
          <rPr>
            <sz val="10"/>
            <color rgb="FF000000"/>
            <rFont val="Arial"/>
          </rPr>
          <t>Verse will be spoken by the pastor. Alleluia refrain is sung by the congregation.</t>
        </r>
      </text>
    </comment>
    <comment ref="R47" authorId="0" shapeId="0" xr:uid="{00000000-0006-0000-0500-00003B000000}">
      <text>
        <r>
          <rPr>
            <sz val="10"/>
            <color rgb="FF000000"/>
            <rFont val="Arial"/>
          </rPr>
          <t>The Lord teaches Jonah about his grace.</t>
        </r>
      </text>
    </comment>
    <comment ref="S47" authorId="0" shapeId="0" xr:uid="{00000000-0006-0000-0500-00003C000000}">
      <text>
        <r>
          <rPr>
            <sz val="10"/>
            <color rgb="FF000000"/>
            <rFont val="Arial"/>
          </rPr>
          <t>Salvation does not depend on man's desire or effort but on God's mercy.</t>
        </r>
      </text>
    </comment>
    <comment ref="T47" authorId="0" shapeId="0" xr:uid="{00000000-0006-0000-0500-00003D000000}">
      <text>
        <r>
          <rPr>
            <sz val="10"/>
            <color rgb="FF000000"/>
            <rFont val="Arial"/>
          </rPr>
          <t>Even those hired at the end of the day receive their full reward.</t>
        </r>
      </text>
    </comment>
    <comment ref="U47" authorId="0" shapeId="0" xr:uid="{00000000-0006-0000-0500-00003E000000}">
      <text>
        <r>
          <rPr>
            <sz val="10"/>
            <color rgb="FF000000"/>
            <rFont val="Arial"/>
          </rPr>
          <t>Those who turn to the Lord will see his goodness.</t>
        </r>
      </text>
    </comment>
    <comment ref="V47" authorId="0" shapeId="0" xr:uid="{00000000-0006-0000-0500-00003F000000}">
      <text>
        <r>
          <rPr>
            <sz val="10"/>
            <color rgb="FF000000"/>
            <rFont val="Arial"/>
          </rPr>
          <t>CW390 Salvation unto Us Has Come
CW381 Grace Has a Thrilling Sound
CW379 Amazing Grace--How Sweet the Sound!</t>
        </r>
      </text>
    </comment>
    <comment ref="N48" authorId="0" shapeId="0" xr:uid="{00000000-0006-0000-0500-000040000000}">
      <text>
        <r>
          <rPr>
            <sz val="10"/>
            <color rgb="FF000000"/>
            <rFont val="Arial"/>
          </rPr>
          <t>Alleluia! At the name of Jesus every knee should bow, and every tongue confess that Jesus Christ is Lord, to the glory of God the Father. Alleluia!</t>
        </r>
      </text>
    </comment>
    <comment ref="N49" authorId="0" shapeId="0" xr:uid="{00000000-0006-0000-0500-000041000000}">
      <text>
        <r>
          <rPr>
            <sz val="10"/>
            <color rgb="FF000000"/>
            <rFont val="Arial"/>
          </rPr>
          <t>Alleluia! I will proclaim your name to my people; in the midst of the congregation I will praise you. Alleluia!</t>
        </r>
      </text>
    </comment>
    <comment ref="L50" authorId="0" shapeId="0" xr:uid="{00000000-0006-0000-0500-000042000000}">
      <text>
        <r>
          <rPr>
            <sz val="10"/>
            <color rgb="FF000000"/>
            <rFont val="Arial"/>
          </rPr>
          <t>The King will save those who stand firm
From his ascension until his return, Christ reigns as King. This truth gives us tremendous comfort as we live amid the chaos of these last days. Even though God's people are like sheep living among wolves and lions who want to devour them, the King promises rescue. He will deliver all who stand firm in faith.</t>
        </r>
      </text>
    </comment>
    <comment ref="M50" authorId="0" shapeId="0" xr:uid="{00000000-0006-0000-0500-000043000000}">
      <text>
        <r>
          <rPr>
            <sz val="10"/>
            <color rgb="FF000000"/>
            <rFont val="Arial"/>
          </rPr>
          <t>Gracious Lord, our refuge and strength, pour out your Holy Spirit on your faithful people. Keep them steadfast in your Word, protect and comfort them in all temptations, defend them against all their enemies, and bestow on the Church your saving peace; through your Son, Jesus Christ our Lord, who lives and reigns with you and the Holy Spirit, one God, now and forever.</t>
        </r>
      </text>
    </comment>
    <comment ref="N50" authorId="0" shapeId="0" xr:uid="{00000000-0006-0000-0500-000044000000}">
      <text>
        <r>
          <rPr>
            <sz val="10"/>
            <color rgb="FF000000"/>
            <rFont val="Arial"/>
          </rPr>
          <t>Alleluia! If you continue in my Word, you are truly my disciples, and you will know the truth, and the truth will make you free. Alleluia!</t>
        </r>
      </text>
    </comment>
    <comment ref="R50" authorId="0" shapeId="0" xr:uid="{00000000-0006-0000-0500-000045000000}">
      <text>
        <r>
          <rPr>
            <sz val="10"/>
            <color rgb="FF000000"/>
            <rFont val="Arial"/>
          </rPr>
          <t>Daniel stands firm and is saved from the lion's den.</t>
        </r>
      </text>
    </comment>
    <comment ref="S50" authorId="0" shapeId="0" xr:uid="{00000000-0006-0000-0500-000046000000}">
      <text>
        <r>
          <rPr>
            <sz val="10"/>
            <color rgb="FF000000"/>
            <rFont val="Arial"/>
          </rPr>
          <t>Paul stands firm and is rescued from the lion's mouth.</t>
        </r>
      </text>
    </comment>
    <comment ref="T50" authorId="0" shapeId="0" xr:uid="{00000000-0006-0000-0500-000047000000}">
      <text>
        <r>
          <rPr>
            <sz val="10"/>
            <color rgb="FF000000"/>
            <rFont val="Arial"/>
          </rPr>
          <t>Jesus tells sheep among wolves to stand firm and be saved.</t>
        </r>
      </text>
    </comment>
    <comment ref="U50" authorId="0" shapeId="0" xr:uid="{00000000-0006-0000-0500-000048000000}">
      <text>
        <r>
          <rPr>
            <sz val="10"/>
            <color rgb="FF000000"/>
            <rFont val="Arial"/>
          </rPr>
          <t>Even amid all the signs that the end is near, the city of God stands firm; she will not fall.</t>
        </r>
      </text>
    </comment>
    <comment ref="V50" authorId="0" shapeId="0" xr:uid="{00000000-0006-0000-0500-000049000000}">
      <text>
        <r>
          <rPr>
            <sz val="10"/>
            <color rgb="FF000000"/>
            <rFont val="Arial"/>
          </rPr>
          <t>CW203 Lord, Keep Us Steadfast in Thy Word
CW200 A Mighty Fortress Is Our God</t>
        </r>
      </text>
    </comment>
    <comment ref="L51" authorId="0" shapeId="0" xr:uid="{00000000-0006-0000-0500-00004A000000}">
      <text>
        <r>
          <rPr>
            <sz val="10"/>
            <color rgb="FF000000"/>
            <rFont val="Arial"/>
          </rPr>
          <t>The King will judge with perfect justice
From his ascension until his return, Christ reigns as King. This truth gives us tremendous comfort as we live amid the chaos of these last days. The prospect of his judgment can be a frightening thing, especially since it will be perfectly just. Christ will give to each according to what he has done. Thankfully, the very same faith that looks to him for perfection produces outward evidence of the same. he gives us opportunities to put that faith into action by promising that whatever we do for a brother or sister, we do for him.</t>
        </r>
      </text>
    </comment>
    <comment ref="M51" authorId="0" shapeId="0" xr:uid="{00000000-0006-0000-0500-00004B000000}">
      <text>
        <r>
          <rPr>
            <sz val="10"/>
            <color rgb="FF000000"/>
            <rFont val="Arial"/>
          </rPr>
          <t>Lord God Almighty, so rule and govern our hearts and minds by your Holy Spirit that we may always look forward to the end of this present evil age and to the day of your righteous judgment. Keep us steadfast in true and living faith and present us at last holy and blameless before you; through your Son, Jesus Christ our Lord, who lives and reigns with you and the Holy Spirit, one God, now and forever.</t>
        </r>
      </text>
    </comment>
    <comment ref="N51" authorId="0" shapeId="0" xr:uid="{00000000-0006-0000-0500-00004C000000}">
      <text>
        <r>
          <rPr>
            <sz val="10"/>
            <color rgb="FF000000"/>
            <rFont val="Arial"/>
          </rPr>
          <t>Alleluia! Watch therefore, for you do not know on what day your Lord is coming. Alleluia!</t>
        </r>
      </text>
    </comment>
    <comment ref="R51" authorId="0" shapeId="0" xr:uid="{00000000-0006-0000-0500-00004D000000}">
      <text>
        <r>
          <rPr>
            <sz val="10"/>
            <color rgb="FF000000"/>
            <rFont val="Arial"/>
          </rPr>
          <t>All mankind will appear before Jesus to be judged.</t>
        </r>
      </text>
    </comment>
    <comment ref="S51" authorId="0" shapeId="0" xr:uid="{00000000-0006-0000-0500-00004E000000}">
      <text>
        <r>
          <rPr>
            <sz val="10"/>
            <color rgb="FF000000"/>
            <rFont val="Arial"/>
          </rPr>
          <t>Jesus' judgment will be based on truth.</t>
        </r>
      </text>
    </comment>
    <comment ref="T51" authorId="0" shapeId="0" xr:uid="{00000000-0006-0000-0500-00004F000000}">
      <text>
        <r>
          <rPr>
            <sz val="10"/>
            <color rgb="FF000000"/>
            <rFont val="Arial"/>
          </rPr>
          <t>Jesus' judgment is compared to the separation of sheep and goats.
(KB plays; anthem texts, verses, end times,
verse of the day - Last Judgment)</t>
        </r>
      </text>
    </comment>
    <comment ref="U51" authorId="0" shapeId="0" xr:uid="{00000000-0006-0000-0500-000050000000}">
      <text>
        <r>
          <rPr>
            <sz val="10"/>
            <color rgb="FF000000"/>
            <rFont val="Arial"/>
          </rPr>
          <t>Though the Lord sees even our secret sins, we sing for joy at his unfailing love.
(KB plays; choral music, psalms, lyric
psalter, Psalm 90 - Haugen)</t>
        </r>
      </text>
    </comment>
    <comment ref="V51" authorId="0" shapeId="0" xr:uid="{00000000-0006-0000-0500-000051000000}">
      <text>
        <r>
          <rPr>
            <sz val="10"/>
            <color rgb="FF000000"/>
            <rFont val="Arial"/>
          </rPr>
          <t xml:space="preserve">CWS 788 Thanks Be to God! (Response/Song of praise)
CW209 Day of Wrath, O, Day of Mourning
CW207 The Day Is Surely Drawing Near (KB plays; cantor sings stanzas 1,3,5; under
the title of the hymn, please acknowledge
"setting by Kenneth Kosche")
CW306* Before You, God, the Judge of All
</t>
        </r>
      </text>
    </comment>
    <comment ref="I52" authorId="0" shapeId="0" xr:uid="{00000000-0006-0000-0500-000052000000}">
      <text>
        <r>
          <rPr>
            <sz val="10"/>
            <color rgb="FF000000"/>
            <rFont val="Arial"/>
          </rPr>
          <t>Reading of the names of those who have died during the past year.</t>
        </r>
      </text>
    </comment>
    <comment ref="L52" authorId="0" shapeId="0" xr:uid="{00000000-0006-0000-0500-000053000000}">
      <text>
        <r>
          <rPr>
            <sz val="10"/>
            <color rgb="FF000000"/>
            <rFont val="Arial"/>
          </rPr>
          <t>The King will call his bride to the banquet
From his ascension until his return, Christ reigns as King. This truth gives us tremendous comfort as we live amid the chaos of these last days. While we wait for his return, many will fall asleep. However, since he has promised to come for his bride, we confidently and eagerly wait for his return.</t>
        </r>
      </text>
    </comment>
    <comment ref="M52" authorId="0" shapeId="0" xr:uid="{00000000-0006-0000-0500-000054000000}">
      <text>
        <r>
          <rPr>
            <sz val="10"/>
            <color rgb="FF000000"/>
            <rFont val="Arial"/>
          </rPr>
          <t>Almighty God and Savior, you have set the final day and hour when we shall be delivered from this world of sin and death. Keep us ever watchful for the coming of your Son that we may sit with him and all your holy ones at the marriage feast in heaven; through Jesus Christ, your Son, our Lord, who lives and reigns with you and the Holy Spirit, one God, now and forever.</t>
        </r>
      </text>
    </comment>
    <comment ref="N52" authorId="0" shapeId="0" xr:uid="{00000000-0006-0000-0500-000055000000}">
      <text>
        <r>
          <rPr>
            <sz val="10"/>
            <color rgb="FF000000"/>
            <rFont val="Arial"/>
          </rPr>
          <t>Alleluia! They are before the throne of God and serve him day and night in his temple. Alleluia!</t>
        </r>
      </text>
    </comment>
    <comment ref="R52" authorId="0" shapeId="0" xr:uid="{00000000-0006-0000-0500-000056000000}">
      <text>
        <r>
          <rPr>
            <sz val="10"/>
            <color rgb="FF000000"/>
            <rFont val="Arial"/>
          </rPr>
          <t>Awake and dress yourselves in garments of splendor.</t>
        </r>
      </text>
    </comment>
    <comment ref="S52" authorId="0" shapeId="0" xr:uid="{00000000-0006-0000-0500-000057000000}">
      <text>
        <r>
          <rPr>
            <sz val="10"/>
            <color rgb="FF000000"/>
            <rFont val="Arial"/>
          </rPr>
          <t>Blessed are those who are invited to the wedding supper of the Lamb.</t>
        </r>
      </text>
    </comment>
    <comment ref="T52" authorId="0" shapeId="0" xr:uid="{00000000-0006-0000-0500-000058000000}">
      <text>
        <r>
          <rPr>
            <sz val="10"/>
            <color rgb="FF000000"/>
            <rFont val="Arial"/>
          </rPr>
          <t>Some guests will be ready for the wedding banquet; others will not.</t>
        </r>
      </text>
    </comment>
    <comment ref="U52" authorId="0" shapeId="0" xr:uid="{00000000-0006-0000-0500-000059000000}">
      <text>
        <r>
          <rPr>
            <sz val="10"/>
            <color rgb="FF000000"/>
            <rFont val="Arial"/>
          </rPr>
          <t>The bride of Christ yearns to be in the courts of her King.</t>
        </r>
      </text>
    </comment>
    <comment ref="V52" authorId="0" shapeId="0" xr:uid="{00000000-0006-0000-0500-00005A000000}">
      <text>
        <r>
          <rPr>
            <sz val="10"/>
            <color rgb="FF000000"/>
            <rFont val="Arial"/>
          </rPr>
          <t>(Response/Song of Praise) CWS788 Thanks Be to God!
CW730 Blessed Are They
CW551 For All the Saints
CW219 Lord, When Your Glory I Shall See
CW206 Wake, Awake, For Night Is Flying</t>
        </r>
      </text>
    </comment>
    <comment ref="L53" authorId="0" shapeId="0" xr:uid="{00000000-0006-0000-0500-00005B000000}">
      <text>
        <r>
          <rPr>
            <sz val="10"/>
            <color rgb="FF000000"/>
            <rFont val="Arial"/>
          </rPr>
          <t>The King will conquer every enemy
From his ascension until his return, Christ reigns as King. This truth gives us tremendous comfort as we live amid the chaos of these last days. Even though it often seemed as though Christ was defeated and seems as though his Church is as well, Christ promises to conquer every last enemy. Eventually all people will be gathered under the caring, loving rule of our Shepherd-King.</t>
        </r>
      </text>
    </comment>
    <comment ref="M53" authorId="0" shapeId="0" xr:uid="{00000000-0006-0000-0500-00005C000000}">
      <text>
        <r>
          <rPr>
            <sz val="10"/>
            <color rgb="FF000000"/>
            <rFont val="Arial"/>
          </rPr>
          <t>Lord Jesus Christ, by your victory you have broken the power of the evil one. Fill our hearts with joy and peace as we look with hope to that day when every creature in heaven and earth will acclaim you King of kings and Lord of lords to your unending praise and glory; for you live and reign with the Father and the Holy Spirit, one God, now and forever.</t>
        </r>
      </text>
    </comment>
    <comment ref="N53" authorId="0" shapeId="0" xr:uid="{00000000-0006-0000-0500-00005D000000}">
      <text>
        <r>
          <rPr>
            <sz val="10"/>
            <color rgb="FF000000"/>
            <rFont val="Arial"/>
          </rPr>
          <t>Alleluia! I am the Alpha and the Omega, the First and the Last, the Beginning and the End. Alleluia!</t>
        </r>
      </text>
    </comment>
    <comment ref="R53" authorId="0" shapeId="0" xr:uid="{00000000-0006-0000-0500-00005E000000}">
      <text>
        <r>
          <rPr>
            <sz val="10"/>
            <color rgb="FF000000"/>
            <rFont val="Arial"/>
          </rPr>
          <t>Although scattered and plundered now, God's flock will enjoy safety under one Shepherd.</t>
        </r>
      </text>
    </comment>
    <comment ref="S53" authorId="0" shapeId="0" xr:uid="{00000000-0006-0000-0500-00005F000000}">
      <text>
        <r>
          <rPr>
            <sz val="10"/>
            <color rgb="FF000000"/>
            <rFont val="Arial"/>
          </rPr>
          <t>Christ will reign until the last enemy is defeated.</t>
        </r>
      </text>
    </comment>
    <comment ref="T53" authorId="0" shapeId="0" xr:uid="{00000000-0006-0000-0500-000060000000}">
      <text>
        <r>
          <rPr>
            <sz val="10"/>
            <color rgb="FF000000"/>
            <rFont val="Arial"/>
          </rPr>
          <t>Kingly victory is realized through humiliating defeat</t>
        </r>
      </text>
    </comment>
    <comment ref="U53" authorId="0" shapeId="0" xr:uid="{00000000-0006-0000-0500-000061000000}">
      <text>
        <r>
          <rPr>
            <sz val="10"/>
            <color rgb="FF000000"/>
            <rFont val="Arial"/>
          </rPr>
          <t>The King has subdued every enemy for the people he loves.</t>
        </r>
      </text>
    </comment>
    <comment ref="V53" authorId="0" shapeId="0" xr:uid="{00000000-0006-0000-0500-000062000000}">
      <text>
        <r>
          <rPr>
            <sz val="10"/>
            <color rgb="FF000000"/>
            <rFont val="Arial"/>
          </rPr>
          <t>CW216 Saints, Behold! The Sight Is Glorious
(Response/Song of Praise) [CWS788 Thanks Be to God!]
CW341 Crown Him with Many Crowns
(CW25 The King Shall Come
CWS728 Jerusalem the Golden)</t>
        </r>
      </text>
    </comment>
    <comment ref="L54" authorId="0" shapeId="0" xr:uid="{00000000-0006-0000-0500-000063000000}">
      <text>
        <r>
          <rPr>
            <sz val="10"/>
            <color rgb="FF000000"/>
            <rFont val="Arial"/>
          </rPr>
          <t>Give thanks to the Lord for he is good; his mercy endures forever.
What are you thankful for? The list of blessings we enjoy is beyond measure! We have many, many things to be thankful for.
A better question we might ask today is: Whom are you thankful to? We have many to thank for their wonderful influence in our lives: parents and family, employers and coworkers, friends and neighbors, pastors and teachers.
But all of the blessings we enjoy ultimately go back to the Giver who has given us every good thing. The LORD our God is the source of every blessing, who deserves all our Thanksgiving.</t>
        </r>
      </text>
    </comment>
    <comment ref="M54" authorId="0" shapeId="0" xr:uid="{00000000-0006-0000-0500-000064000000}">
      <text>
        <r>
          <rPr>
            <sz val="10"/>
            <color rgb="FF000000"/>
            <rFont val="Arial"/>
          </rPr>
          <t>Almighty God our Father, you generous goodness comes to us new every day. By the work of your Spirit lead us to acknowledge your goodness, give thanks for your benefits, and serve you in willing obedience; through your Son, Jesus Christ our Lord.</t>
        </r>
      </text>
    </comment>
    <comment ref="N54" authorId="0" shapeId="0" xr:uid="{00000000-0006-0000-0500-000065000000}">
      <text>
        <r>
          <rPr>
            <sz val="10"/>
            <color rgb="FF000000"/>
            <rFont val="Arial"/>
          </rPr>
          <t>Alleluia! Give thanks to the Lord, for he is good. His love endures forever. Alleluia!</t>
        </r>
      </text>
    </comment>
    <comment ref="R54" authorId="0" shapeId="0" xr:uid="{00000000-0006-0000-0500-000066000000}">
      <text>
        <r>
          <rPr>
            <sz val="10"/>
            <color rgb="FF000000"/>
            <rFont val="Arial"/>
          </rPr>
          <t>We might mistakenly believe we have ourselves to thank for the blessings we enjoy, but everything we have and all we are is a gift from the Lord.</t>
        </r>
      </text>
    </comment>
    <comment ref="S54" authorId="0" shapeId="0" xr:uid="{00000000-0006-0000-0500-000067000000}">
      <text>
        <r>
          <rPr>
            <sz val="10"/>
            <color rgb="FF000000"/>
            <rFont val="Arial"/>
          </rPr>
          <t>The Lord provides all of the abundance we enjoy, both for our bodies and our souls. Even the ability to give thanks and worship the Lord with our offerings is a gift from him.</t>
        </r>
      </text>
    </comment>
    <comment ref="T54" authorId="0" shapeId="0" xr:uid="{00000000-0006-0000-0500-000068000000}">
      <text>
        <r>
          <rPr>
            <sz val="10"/>
            <color rgb="FF000000"/>
            <rFont val="Arial"/>
          </rPr>
          <t>The grateful leper who had been cleansed was bound by gratitude to return to Jesus and give thanks.</t>
        </r>
      </text>
    </comment>
    <comment ref="U54" authorId="0" shapeId="0" xr:uid="{00000000-0006-0000-0500-000069000000}">
      <text>
        <r>
          <rPr>
            <sz val="10"/>
            <color rgb="FF000000"/>
            <rFont val="Arial"/>
          </rPr>
          <t>The Lord cares for us and watches over us, as a shepherd watches over the sheep of his flock.</t>
        </r>
      </text>
    </comment>
    <comment ref="V54" authorId="0" shapeId="0" xr:uid="{00000000-0006-0000-0500-00006A000000}">
      <text>
        <r>
          <rPr>
            <sz val="10"/>
            <color rgb="FF000000"/>
            <rFont val="Arial"/>
          </rPr>
          <t>CW250 From All That Dwell below the Skies
CW614 Sing to the Lord of Harvest
CW609 We Praise You, O God, Our Redeemer
CW610 Now Thank We All Our God
CW611 For the Fruit of His Creation</t>
        </r>
      </text>
    </comment>
    <comment ref="N55" authorId="0" shapeId="0" xr:uid="{00000000-0006-0000-0500-00006B000000}">
      <text>
        <r>
          <rPr>
            <sz val="10"/>
            <color rgb="FF000000"/>
            <rFont val="Arial"/>
          </rPr>
          <t>Alleluia! Give thanks to the Lord, for he is good. His love endures forever. Alleluia!</t>
        </r>
      </text>
    </comment>
    <comment ref="L56" authorId="0" shapeId="0" xr:uid="{00000000-0006-0000-0500-00006C000000}">
      <text>
        <r>
          <rPr>
            <sz val="10"/>
            <color rgb="FF000000"/>
            <rFont val="Arial"/>
          </rPr>
          <t>No one knows when; therefore, watch!
The word Advent means "coming." Christ came in the flesh in the past. Christ comes in Word and Sacrament in the present. Christ will come in glory in the future. During this season get ready for all three of his advents among us. Today we are reminded that Christ's second coming will be unexpected. No one knows the day or hour. Therefore, we must always be alert and keep watch.</t>
        </r>
      </text>
    </comment>
    <comment ref="M56" authorId="0" shapeId="0" xr:uid="{00000000-0006-0000-0500-00006D000000}">
      <text>
        <r>
          <rPr>
            <sz val="10"/>
            <color rgb="FF000000"/>
            <rFont val="Arial"/>
          </rPr>
          <t>Stir up your power, O Lord, and come. Protect us by your strength and save us from the threatening dangers of our sins; for you live and reign with the Father and the Holy Spirit, one God, now and forever.</t>
        </r>
      </text>
    </comment>
    <comment ref="N56" authorId="0" shapeId="0" xr:uid="{00000000-0006-0000-0500-00006E000000}">
      <text>
        <r>
          <rPr>
            <sz val="10"/>
            <color rgb="FF000000"/>
            <rFont val="Arial"/>
          </rPr>
          <t>Alleluia! He who testifies to these things says, "Yes, I am coming soon." Amen. Come, Lord Jesus. Alleluia!</t>
        </r>
      </text>
    </comment>
    <comment ref="R56" authorId="0" shapeId="0" xr:uid="{00000000-0006-0000-0500-00006F000000}">
      <text>
        <r>
          <rPr>
            <sz val="10"/>
            <color rgb="FF000000"/>
            <rFont val="Arial"/>
          </rPr>
          <t>God announces the flood that will bring both destruction upon the wicked and rescue for the righteous.</t>
        </r>
      </text>
    </comment>
    <comment ref="S56" authorId="0" shapeId="0" xr:uid="{00000000-0006-0000-0500-000070000000}">
      <text>
        <r>
          <rPr>
            <sz val="10"/>
            <color rgb="FF000000"/>
            <rFont val="Arial"/>
          </rPr>
          <t>Water brought destruction and rescue in Noah's day. Water rescues us for the day of Christ's return.</t>
        </r>
      </text>
    </comment>
    <comment ref="T56" authorId="0" shapeId="0" xr:uid="{00000000-0006-0000-0500-000071000000}">
      <text>
        <r>
          <rPr>
            <sz val="10"/>
            <color rgb="FF000000"/>
            <rFont val="Arial"/>
          </rPr>
          <t>No one knows the day or the hour; therefore, keep watch!</t>
        </r>
      </text>
    </comment>
    <comment ref="U56" authorId="0" shapeId="0" xr:uid="{00000000-0006-0000-0500-000072000000}">
      <text>
        <r>
          <rPr>
            <sz val="10"/>
            <color rgb="FF000000"/>
            <rFont val="Arial"/>
          </rPr>
          <t>Because the King of glory is coming, God's people lift up their heads, like gates welcoming him into the city.</t>
        </r>
      </text>
    </comment>
    <comment ref="L57" authorId="0" shapeId="0" xr:uid="{00000000-0006-0000-0500-000073000000}">
      <text>
        <r>
          <rPr>
            <sz val="10"/>
            <color rgb="FF000000"/>
            <rFont val="Arial"/>
          </rPr>
          <t>Advent Antidotes - The remedy for stress
The holidays are a time when more people seem to run around frazzled than at any other time of year. How can we escape the pressure cooker of the holiday season? Does the Lord have the solution? In our series called Advent Antidotes we see God's wonderful prescription for dealing with a stressful season.</t>
        </r>
      </text>
    </comment>
    <comment ref="M57" authorId="0" shapeId="0" xr:uid="{00000000-0006-0000-0500-000074000000}">
      <text>
        <r>
          <rPr>
            <sz val="10"/>
            <color rgb="FF000000"/>
            <rFont val="Arial"/>
          </rPr>
          <t>Stir up your power, O Lord, and come. Protect us by your strength and save us from the threatening dangers of our sins; for you live and reign with the Father and the Holy Spirit, one God, now and forever.</t>
        </r>
      </text>
    </comment>
    <comment ref="Q57" authorId="0" shapeId="0" xr:uid="{00000000-0006-0000-0500-000075000000}">
      <text>
        <r>
          <rPr>
            <sz val="10"/>
            <color rgb="FF000000"/>
            <rFont val="Arial"/>
          </rPr>
          <t>Take a breather!</t>
        </r>
      </text>
    </comment>
    <comment ref="R57" authorId="0" shapeId="0" xr:uid="{00000000-0006-0000-0500-000076000000}">
      <text>
        <r>
          <rPr>
            <sz val="10"/>
            <color rgb="FF000000"/>
            <rFont val="Arial"/>
          </rPr>
          <t>Solomon praises the Lord, the God of Israel, for giving rest to his people.</t>
        </r>
      </text>
    </comment>
    <comment ref="S57" authorId="0" shapeId="0" xr:uid="{00000000-0006-0000-0500-000077000000}">
      <text>
        <r>
          <rPr>
            <sz val="10"/>
            <color rgb="FF000000"/>
            <rFont val="Arial"/>
          </rPr>
          <t>Christians walk in the way of faith and obedience, anticipating the wonderful Sabbath-rest prepared for the people of God.</t>
        </r>
      </text>
    </comment>
    <comment ref="T57" authorId="0" shapeId="0" xr:uid="{00000000-0006-0000-0500-000078000000}">
      <text>
        <r>
          <rPr>
            <sz val="10"/>
            <color rgb="FF000000"/>
            <rFont val="Arial"/>
          </rPr>
          <t>Aged Simeon found his heart at rest when he held the baby Jesus, and he was ready to depart in peace.</t>
        </r>
      </text>
    </comment>
    <comment ref="L58" authorId="0" shapeId="0" xr:uid="{00000000-0006-0000-0500-000079000000}">
      <text>
        <r>
          <rPr>
            <sz val="10"/>
            <color rgb="FF000000"/>
            <rFont val="Arial"/>
          </rPr>
          <t>He comes with power; therefore, prepare!
The word Advent means "coming." Christ came in the flesh in the past. Christ comes in Word and Sacrament in the present. Christ will come in glory in the future. During this season get ready for all three of his advents among us. Today we are reminded that Christ's second coming will be with great power. The earth itself will be destroyed. Thankfully, we are prepared for his coming through baptism and daily repentance.</t>
        </r>
      </text>
    </comment>
    <comment ref="M58" authorId="0" shapeId="0" xr:uid="{00000000-0006-0000-0500-00007A000000}">
      <text>
        <r>
          <rPr>
            <sz val="10"/>
            <color rgb="FF000000"/>
            <rFont val="Arial"/>
          </rPr>
          <t>Stir up our hearts, O Lord, to prepare the way for your only Son. By his coming give us strength in our conflicts and shed light on our path through the darkness of this world; through your Son, Jesus Christ our Lord, who lives and reigns with you and the Holy Spirit, one God, now and forever.</t>
        </r>
      </text>
    </comment>
    <comment ref="N58" authorId="0" shapeId="0" xr:uid="{00000000-0006-0000-0500-00007B000000}">
      <text>
        <r>
          <rPr>
            <sz val="10"/>
            <color rgb="FF000000"/>
            <rFont val="Arial"/>
          </rPr>
          <t>Alleluia! Prepare the way for the Lord, make straight paths for him. All mankind will see God's salvation. Alleluia!</t>
        </r>
      </text>
    </comment>
    <comment ref="Q58" authorId="0" shapeId="0" xr:uid="{00000000-0006-0000-0500-00007C000000}">
      <text>
        <r>
          <rPr>
            <sz val="10"/>
            <color rgb="FF000000"/>
            <rFont val="Arial"/>
          </rPr>
          <t>Not fixed on "now" (this world). Not dwelling on and controlled by the past.</t>
        </r>
      </text>
    </comment>
    <comment ref="R58" authorId="0" shapeId="0" xr:uid="{00000000-0006-0000-0500-00007D000000}">
      <text>
        <r>
          <rPr>
            <sz val="10"/>
            <color rgb="FF000000"/>
            <rFont val="Arial"/>
          </rPr>
          <t>Prepare the way for the Lord, for he comes in power.</t>
        </r>
      </text>
    </comment>
    <comment ref="S58" authorId="0" shapeId="0" xr:uid="{00000000-0006-0000-0500-00007E000000}">
      <text>
        <r>
          <rPr>
            <sz val="10"/>
            <color rgb="FF000000"/>
            <rFont val="Arial"/>
          </rPr>
          <t>His delay is not weakness but patience; prepare for his powerful coming.</t>
        </r>
      </text>
    </comment>
    <comment ref="T58" authorId="0" shapeId="0" xr:uid="{00000000-0006-0000-0500-00007F000000}">
      <text>
        <r>
          <rPr>
            <sz val="10"/>
            <color rgb="FF000000"/>
            <rFont val="Arial"/>
          </rPr>
          <t>John baptizes in preparation for one more powerful than he.</t>
        </r>
      </text>
    </comment>
    <comment ref="U58" authorId="0" shapeId="0" xr:uid="{00000000-0006-0000-0500-000080000000}">
      <text>
        <r>
          <rPr>
            <sz val="10"/>
            <color rgb="FF000000"/>
            <rFont val="Arial"/>
          </rPr>
          <t>Despite the intentions of the evil, the mighty Lord is the refuge of the righteous.</t>
        </r>
      </text>
    </comment>
    <comment ref="V58" authorId="0" shapeId="0" xr:uid="{00000000-0006-0000-0500-000081000000}">
      <text>
        <r>
          <rPr>
            <sz val="10"/>
            <color rgb="FF000000"/>
            <rFont val="Arial"/>
          </rPr>
          <t>Use Psalm 14 from the CWS during the 9:00 service.
In the 7:45 service, in place of the psalm, Cassandra Grys will sing 703 "My Soul in Stillness Waits." In the 10:30 service the Sonshine Choir will sing 703 in place of the psalm.</t>
        </r>
      </text>
    </comment>
    <comment ref="L59" authorId="0" shapeId="0" xr:uid="{00000000-0006-0000-0500-000082000000}">
      <text>
        <r>
          <rPr>
            <sz val="10"/>
            <color rgb="FF000000"/>
            <rFont val="Arial"/>
          </rPr>
          <t>Advent Antidotes - The remedy for worry
There is so  much to think about this time of year. There are so many things to plan and tend to, and there are so many things that can go wrong. Worry, doubt, and fear can easily take over our thinking. In our series called Advent Antidotes we see God's wonderful prescription that overcomes worry, drives out fear, and sweeps away doubt.</t>
        </r>
      </text>
    </comment>
    <comment ref="M59" authorId="0" shapeId="0" xr:uid="{00000000-0006-0000-0500-000083000000}">
      <text>
        <r>
          <rPr>
            <sz val="10"/>
            <color rgb="FF000000"/>
            <rFont val="Arial"/>
          </rPr>
          <t>Stir up our hearts, O Lord, to prepare the way for your only Son. By his coming give us strength in our conflicts, and shed light on our path through the darkness of this world; through your Son, Jesus Christ our Lord, who lives and reigns with you and the Holy Spirit, one God, now and forever.</t>
        </r>
      </text>
    </comment>
    <comment ref="Q59" authorId="0" shapeId="0" xr:uid="{00000000-0006-0000-0500-000084000000}">
      <text>
        <r>
          <rPr>
            <sz val="10"/>
            <color rgb="FF000000"/>
            <rFont val="Arial"/>
          </rPr>
          <t>(The remedy for worry is trust.)</t>
        </r>
      </text>
    </comment>
    <comment ref="R59" authorId="0" shapeId="0" xr:uid="{00000000-0006-0000-0500-000085000000}">
      <text>
        <r>
          <rPr>
            <sz val="10"/>
            <color rgb="FF000000"/>
            <rFont val="Arial"/>
          </rPr>
          <t>Scripture instructs us to trust in the Lord and not rely on our own logic, reason, or understanding.</t>
        </r>
      </text>
    </comment>
    <comment ref="T59" authorId="0" shapeId="0" xr:uid="{00000000-0006-0000-0500-000086000000}">
      <text>
        <r>
          <rPr>
            <sz val="10"/>
            <color rgb="FF000000"/>
            <rFont val="Arial"/>
          </rPr>
          <t>Mary heard the message of the Angel Gabriel and trusted that the Word of the Lord would come true.</t>
        </r>
      </text>
    </comment>
    <comment ref="U59" authorId="0" shapeId="0" xr:uid="{00000000-0006-0000-0500-000087000000}">
      <text>
        <r>
          <rPr>
            <sz val="10"/>
            <color rgb="FF000000"/>
            <rFont val="Arial"/>
          </rPr>
          <t>(CW p. 97) The congregation will sing the song and the refrain.</t>
        </r>
      </text>
    </comment>
    <comment ref="L60" authorId="0" shapeId="0" xr:uid="{00000000-0006-0000-0500-000088000000}">
      <text>
        <r>
          <rPr>
            <sz val="10"/>
            <color rgb="FF000000"/>
            <rFont val="Arial"/>
          </rPr>
          <t>He is the Light who illumines our darkness
The word Advent means "coming." Christ came in the flesh in the past. Christ comes in Word and Sacrament in the present. Christ will come in glory in the future. During this season get ready for all three of his advents among us. Today we are reminded that Christ is the Light of the world and brings light to the world. Light can bring destruction (like fire) or warmth and gladness (like the sun). Therefore, we must listen to what God's Word says about the Jesus and firmly put our trust in him.</t>
        </r>
      </text>
    </comment>
    <comment ref="M60" authorId="0" shapeId="0" xr:uid="{00000000-0006-0000-0500-000089000000}">
      <text>
        <r>
          <rPr>
            <sz val="10"/>
            <color rgb="FF000000"/>
            <rFont val="Arial"/>
          </rPr>
          <t>Hear our prayers, Lord Jesus Christ, and come with the good news of your mighty deliverance. Drive the darkness from our hearts, and fill us with your light; for you live and reign with the Father and the Holy Spirit, one God, now and forever.</t>
        </r>
      </text>
    </comment>
    <comment ref="N60" authorId="0" shapeId="0" xr:uid="{00000000-0006-0000-0500-00008A000000}">
      <text>
        <r>
          <rPr>
            <sz val="10"/>
            <color rgb="FF000000"/>
            <rFont val="Arial"/>
          </rPr>
          <t>Alleluia! I will send my messenger ahead of you, who will prepare your way before you. Alleluia!</t>
        </r>
      </text>
    </comment>
    <comment ref="R60" authorId="0" shapeId="0" xr:uid="{00000000-0006-0000-0500-00008B000000}">
      <text>
        <r>
          <rPr>
            <sz val="10"/>
            <color rgb="FF000000"/>
            <rFont val="Arial"/>
          </rPr>
          <t>The day of the Lord will be like a furnace for the wicked, like sunshine for the righteous.</t>
        </r>
      </text>
    </comment>
    <comment ref="S60" authorId="0" shapeId="0" xr:uid="{00000000-0006-0000-0500-00008C000000}">
      <text>
        <r>
          <rPr>
            <sz val="10"/>
            <color rgb="FF000000"/>
            <rFont val="Arial"/>
          </rPr>
          <t>Listen to prophecy; don't put out the Spirit's fire.</t>
        </r>
      </text>
    </comment>
    <comment ref="T60" authorId="0" shapeId="0" xr:uid="{00000000-0006-0000-0500-00008D000000}">
      <text>
        <r>
          <rPr>
            <sz val="10"/>
            <color rgb="FF000000"/>
            <rFont val="Arial"/>
          </rPr>
          <t>John points to the light, but people refuse to see and believe.</t>
        </r>
      </text>
    </comment>
    <comment ref="U60" authorId="0" shapeId="0" xr:uid="{00000000-0006-0000-0500-00008E000000}">
      <text>
        <r>
          <rPr>
            <sz val="10"/>
            <color rgb="FF000000"/>
            <rFont val="Arial"/>
          </rPr>
          <t>In youth and in old age, God's people listen to his Word and proclaim his deeds to the next generation.</t>
        </r>
      </text>
    </comment>
    <comment ref="L61" authorId="0" shapeId="0" xr:uid="{00000000-0006-0000-0500-00008F000000}">
      <text>
        <r>
          <rPr>
            <sz val="10"/>
            <color rgb="FF000000"/>
            <rFont val="Arial"/>
          </rPr>
          <t xml:space="preserve">Advent Antidotes - The remedy for consumerism
There are so many "must-have" items on the shopping list this year. Holiday sales are strong, as Americans are scooping up all the merchandise they can afford--and then some! Does the Lord show us a better way? In this the last of our series called Advent Antidotes, we see God's wonderful prescription for the pressing desire to have more and more and . . . </t>
        </r>
      </text>
    </comment>
    <comment ref="M61" authorId="0" shapeId="0" xr:uid="{00000000-0006-0000-0500-000090000000}">
      <text>
        <r>
          <rPr>
            <sz val="10"/>
            <color rgb="FF000000"/>
            <rFont val="Arial"/>
          </rPr>
          <t>Hear our prayers, Lord Jesus Christ, and come with the good news of your mighty deliverance. Drive the darkness from our hearts, and fill us with your light; for you live and reign with the Father and the Holy Spirit, one God, now and forever.</t>
        </r>
      </text>
    </comment>
    <comment ref="Q61" authorId="0" shapeId="0" xr:uid="{00000000-0006-0000-0500-000091000000}">
      <text>
        <r>
          <rPr>
            <sz val="10"/>
            <color rgb="FF000000"/>
            <rFont val="Arial"/>
          </rPr>
          <t>(The remedy for consumerism is contentment.)</t>
        </r>
      </text>
    </comment>
    <comment ref="R61" authorId="0" shapeId="0" xr:uid="{00000000-0006-0000-0500-000092000000}">
      <text>
        <r>
          <rPr>
            <sz val="10"/>
            <color rgb="FF000000"/>
            <rFont val="Arial"/>
          </rPr>
          <t>The Lord instructs us to trust in him, not in our wealth or riches.</t>
        </r>
      </text>
    </comment>
    <comment ref="S61" authorId="0" shapeId="0" xr:uid="{00000000-0006-0000-0500-000093000000}">
      <text>
        <r>
          <rPr>
            <sz val="10"/>
            <color rgb="FF000000"/>
            <rFont val="Arial"/>
          </rPr>
          <t>Human beings make big plans, but the Lord holds the future. Find contentment in him.</t>
        </r>
      </text>
    </comment>
    <comment ref="T61" authorId="0" shapeId="0" xr:uid="{00000000-0006-0000-0500-000094000000}">
      <text>
        <r>
          <rPr>
            <sz val="10"/>
            <color rgb="FF000000"/>
            <rFont val="Arial"/>
          </rPr>
          <t>John the Baptist's father Zechariah found perfect contentment in the Lord's promises of salvation, forgiveness and peace.</t>
        </r>
      </text>
    </comment>
    <comment ref="U61" authorId="0" shapeId="0" xr:uid="{00000000-0006-0000-0500-000095000000}">
      <text>
        <r>
          <rPr>
            <sz val="10"/>
            <color rgb="FF000000"/>
            <rFont val="Arial"/>
          </rPr>
          <t>(CW p.98) The congregation will sing the song and the refrain.</t>
        </r>
      </text>
    </comment>
    <comment ref="L62" authorId="0" shapeId="0" xr:uid="{00000000-0006-0000-0500-000096000000}">
      <text>
        <r>
          <rPr>
            <sz val="10"/>
            <color rgb="FF000000"/>
            <rFont val="Arial"/>
          </rPr>
          <t>He rules forever; therefore, welcome him!
The word Advent means "coming." Christ came in the flesh in the past. Christ comes in Word and Sacrament in the present. Christ will come in glory in the future. During this season get ready for all three of his advents among us. Today, God's promises focus fully on Christ's first advent. When his birth was promised to David, announced to Mary, and proclaimed in the gospel, he is revealed as a king who has come to establish an endless reign. He came to conquer our enemies for us. Therefore, we gladly receive him in faith!</t>
        </r>
      </text>
    </comment>
    <comment ref="M62" authorId="0" shapeId="0" xr:uid="{00000000-0006-0000-0500-000097000000}">
      <text>
        <r>
          <rPr>
            <sz val="10"/>
            <color rgb="FF000000"/>
            <rFont val="Arial"/>
          </rPr>
          <t>Stir up your power, O Lord, and come. Take away the burden of our sins, and make us ready for the celebration of your birth, that we may receive you in joy and serve you always; for you live and reign with the Father and the Holy Spirit, one God, now and forever.</t>
        </r>
      </text>
    </comment>
    <comment ref="N62" authorId="0" shapeId="0" xr:uid="{00000000-0006-0000-0500-000098000000}">
      <text>
        <r>
          <rPr>
            <sz val="10"/>
            <color rgb="FF000000"/>
            <rFont val="Arial"/>
          </rPr>
          <t>Alleluia! The virgin will be with child and will give birth to a son, and they will call him Emmanuel. Alleluia!</t>
        </r>
      </text>
    </comment>
    <comment ref="M63" authorId="0" shapeId="0" xr:uid="{00000000-0006-0000-0500-000099000000}">
      <text>
        <r>
          <rPr>
            <sz val="10"/>
            <color rgb="FF000000"/>
            <rFont val="Arial"/>
          </rPr>
          <t>Almighty God, you made this holy night shine with the brightness of the true light. Grant that as we have known on earth the wonder of that light, we may also behold him in all his glory in the life to come; through your only Son, Jesus Christ our Lord, who lives and reigns with you and the Holy Spirit, one God, now and forever.</t>
        </r>
      </text>
    </comment>
    <comment ref="N63" authorId="0" shapeId="0" xr:uid="{00000000-0006-0000-0500-00009A000000}">
      <text>
        <r>
          <rPr>
            <sz val="10"/>
            <color rgb="FF000000"/>
            <rFont val="Arial"/>
          </rPr>
          <t>Alleluia! Today in the town of David a Savior has been born to you; he is Christ the Lord. Alleluia!</t>
        </r>
      </text>
    </comment>
    <comment ref="R63" authorId="0" shapeId="0" xr:uid="{00000000-0006-0000-0500-00009B000000}">
      <text>
        <r>
          <rPr>
            <sz val="10"/>
            <color rgb="FF000000"/>
            <rFont val="Arial"/>
          </rPr>
          <t>To us a child is born.</t>
        </r>
      </text>
    </comment>
    <comment ref="S63" authorId="0" shapeId="0" xr:uid="{00000000-0006-0000-0500-00009C000000}">
      <text>
        <r>
          <rPr>
            <sz val="10"/>
            <color rgb="FF000000"/>
            <rFont val="Arial"/>
          </rPr>
          <t>Salvation has appeared to all people.</t>
        </r>
      </text>
    </comment>
    <comment ref="T63" authorId="0" shapeId="0" xr:uid="{00000000-0006-0000-0500-00009D000000}">
      <text>
        <r>
          <rPr>
            <sz val="10"/>
            <color rgb="FF000000"/>
            <rFont val="Arial"/>
          </rPr>
          <t>To you this day a Savior has been born. He is Christ the Lord.</t>
        </r>
      </text>
    </comment>
    <comment ref="U63" authorId="0" shapeId="0" xr:uid="{00000000-0006-0000-0500-00009E000000}">
      <text>
        <r>
          <rPr>
            <sz val="10"/>
            <color rgb="FF000000"/>
            <rFont val="Arial"/>
          </rPr>
          <t>All the gods of the unbelieving are idols, but the Lord made the heavens. Rejoice, for the Lord comes to deliver his people and to judge the earth.</t>
        </r>
      </text>
    </comment>
    <comment ref="M64" authorId="0" shapeId="0" xr:uid="{00000000-0006-0000-0500-00009F000000}">
      <text>
        <r>
          <rPr>
            <sz val="10"/>
            <color rgb="FF000000"/>
            <rFont val="Arial"/>
          </rPr>
          <t>Almighty God, you made this holy night shine with the brightness of the true light. Grant that as we have known on earth the wonder of that light, we may also behold him in all his glory in the life to come; through your only Son, Jesus Christ our Lord, who lives and reigns with you and the Holy Spirit, one God, now and forever.</t>
        </r>
      </text>
    </comment>
    <comment ref="N64" authorId="0" shapeId="0" xr:uid="{00000000-0006-0000-0500-0000A0000000}">
      <text>
        <r>
          <rPr>
            <sz val="10"/>
            <color rgb="FF000000"/>
            <rFont val="Arial"/>
          </rPr>
          <t>Alleluia! Today in the town of David a Savior has been born to you; he is Christ the Lord. Alleluia!</t>
        </r>
      </text>
    </comment>
    <comment ref="R64" authorId="0" shapeId="0" xr:uid="{00000000-0006-0000-0500-0000A1000000}">
      <text>
        <r>
          <rPr>
            <sz val="10"/>
            <color rgb="FF000000"/>
            <rFont val="Arial"/>
          </rPr>
          <t>To us a child is born.</t>
        </r>
      </text>
    </comment>
    <comment ref="S64" authorId="0" shapeId="0" xr:uid="{00000000-0006-0000-0500-0000A2000000}">
      <text>
        <r>
          <rPr>
            <sz val="10"/>
            <color rgb="FF000000"/>
            <rFont val="Arial"/>
          </rPr>
          <t>Salvation has appeared to all people.</t>
        </r>
      </text>
    </comment>
    <comment ref="T64" authorId="0" shapeId="0" xr:uid="{00000000-0006-0000-0500-0000A3000000}">
      <text>
        <r>
          <rPr>
            <sz val="10"/>
            <color rgb="FF000000"/>
            <rFont val="Arial"/>
          </rPr>
          <t>To you this day a Savior has been born. He is Christ the Lord.</t>
        </r>
      </text>
    </comment>
    <comment ref="U64" authorId="0" shapeId="0" xr:uid="{00000000-0006-0000-0500-0000A4000000}">
      <text>
        <r>
          <rPr>
            <sz val="10"/>
            <color rgb="FF000000"/>
            <rFont val="Arial"/>
          </rPr>
          <t xml:space="preserve">(CW p. 102 - The congregation will sing the song and the refrain) </t>
        </r>
      </text>
    </comment>
    <comment ref="M65" authorId="0" shapeId="0" xr:uid="{00000000-0006-0000-0500-0000A5000000}">
      <text>
        <r>
          <rPr>
            <sz val="10"/>
            <color rgb="FF000000"/>
            <rFont val="Arial"/>
          </rPr>
          <t>Almighty God, grant that the birth of your only Son in the flesh may set us free from our old bondage under the yoke of sin; through Jesus Christ our Lord, who lives and reigns with you and the Holy Spirit, one God, now and forever.</t>
        </r>
      </text>
    </comment>
    <comment ref="N65" authorId="0" shapeId="0" xr:uid="{00000000-0006-0000-0500-0000A6000000}">
      <text>
        <r>
          <rPr>
            <sz val="10"/>
            <color rgb="FF000000"/>
            <rFont val="Arial"/>
          </rPr>
          <t>Alleluia! When the time had fully come, God sent his Son, born of a woman, born under law, to redeem those under law. Alleluia!</t>
        </r>
      </text>
    </comment>
    <comment ref="R65" authorId="0" shapeId="0" xr:uid="{00000000-0006-0000-0500-0000A7000000}">
      <text>
        <r>
          <rPr>
            <sz val="10"/>
            <color rgb="FF000000"/>
            <rFont val="Arial"/>
          </rPr>
          <t>The incarnate Son has worked salvation for God.</t>
        </r>
      </text>
    </comment>
    <comment ref="S65" authorId="0" shapeId="0" xr:uid="{00000000-0006-0000-0500-0000A8000000}">
      <text>
        <r>
          <rPr>
            <sz val="10"/>
            <color rgb="FF000000"/>
            <rFont val="Arial"/>
          </rPr>
          <t>The incarnate Son now sits in glory</t>
        </r>
      </text>
    </comment>
    <comment ref="T65" authorId="0" shapeId="0" xr:uid="{00000000-0006-0000-0500-0000A9000000}">
      <text>
        <r>
          <rPr>
            <sz val="10"/>
            <color rgb="FF000000"/>
            <rFont val="Arial"/>
          </rPr>
          <t>The mystery of the incarnation transcends human understanding, yet it fills us with awe and peace.</t>
        </r>
      </text>
    </comment>
    <comment ref="U65" authorId="0" shapeId="0" xr:uid="{00000000-0006-0000-0500-0000AA000000}">
      <text>
        <r>
          <rPr>
            <sz val="10"/>
            <color rgb="FF000000"/>
            <rFont val="Arial"/>
          </rPr>
          <t>The Lord has made his salvation known and revealed his righteousness to the nations.</t>
        </r>
      </text>
    </comment>
    <comment ref="V65" authorId="0" shapeId="0" xr:uid="{00000000-0006-0000-0500-0000AB000000}">
      <text>
        <r>
          <rPr>
            <sz val="10"/>
            <color rgb="FF000000"/>
            <rFont val="Arial"/>
          </rPr>
          <t>Song of Praise - CW64
Psalm - CW62
Verse - CW33
Agnus Dei - CWS707:1,2,4
Sanctus - CW34:1,2,4</t>
        </r>
      </text>
    </comment>
    <comment ref="L66" authorId="0" shapeId="0" xr:uid="{00000000-0006-0000-0500-0000AC000000}">
      <text>
        <r>
          <rPr>
            <sz val="10"/>
            <color rgb="FF000000"/>
            <rFont val="Arial"/>
          </rPr>
          <t>God delivers his Christmas gift
At Christmas, God gave a gift to the entire world, the gift of his Son. Sadly, many in the world did not and still do not receive him. For many, Christmas is already an afterthought, and its true meaning is far from their minds. What a blessing and miracle that God has brought this gift to our eyes and ears and has placed it in our hearts. Like Simeon and Anna of old, the peace the God delivered at Christmas rules in our hearts by his grace.</t>
        </r>
      </text>
    </comment>
    <comment ref="M66" authorId="0" shapeId="0" xr:uid="{00000000-0006-0000-0500-0000AD000000}">
      <text>
        <r>
          <rPr>
            <sz val="10"/>
            <color rgb="FF000000"/>
            <rFont val="Arial"/>
          </rPr>
          <t>Almighty God, in mercy you sent your one and only Son to take upon himself our human nature. By his gracious coming deliver us from the corruption of our sin, and transform us into the likeness of his glory; through Jesus Christ our Lord, who lives and reigns with you and the Holy Spirit, one God, now and forever.</t>
        </r>
      </text>
    </comment>
    <comment ref="N66" authorId="0" shapeId="0" xr:uid="{00000000-0006-0000-0500-0000AE000000}">
      <text>
        <r>
          <rPr>
            <sz val="10"/>
            <color rgb="FF000000"/>
            <rFont val="Arial"/>
          </rPr>
          <t>Alleluia! Let the peace of Christ rule in your hearts. Alleluia!</t>
        </r>
      </text>
    </comment>
    <comment ref="R66" authorId="0" shapeId="0" xr:uid="{00000000-0006-0000-0500-0000AF000000}">
      <text>
        <r>
          <rPr>
            <sz val="10"/>
            <color rgb="FF000000"/>
            <rFont val="Arial"/>
          </rPr>
          <t>Some follow the Savior God, while others follow gods of stone.</t>
        </r>
      </text>
    </comment>
    <comment ref="S66" authorId="0" shapeId="0" xr:uid="{00000000-0006-0000-0500-0000B0000000}">
      <text>
        <r>
          <rPr>
            <sz val="10"/>
            <color rgb="FF000000"/>
            <rFont val="Arial"/>
          </rPr>
          <t>Let the peace of Christ rule in your hearts.</t>
        </r>
      </text>
    </comment>
    <comment ref="T66" authorId="0" shapeId="0" xr:uid="{00000000-0006-0000-0500-0000B1000000}">
      <text>
        <r>
          <rPr>
            <sz val="10"/>
            <color rgb="FF000000"/>
            <rFont val="Arial"/>
          </rPr>
          <t>Simeon and Anna see the Lord's salvation.</t>
        </r>
      </text>
    </comment>
    <comment ref="U66" authorId="0" shapeId="0" xr:uid="{00000000-0006-0000-0500-0000B2000000}">
      <text>
        <r>
          <rPr>
            <sz val="10"/>
            <color rgb="FF000000"/>
            <rFont val="Arial"/>
          </rPr>
          <t>The Lord has shown his people the power of his works.</t>
        </r>
      </text>
    </comment>
    <comment ref="V66" authorId="0" shapeId="0" xr:uid="{00000000-0006-0000-0500-0000B3000000}">
      <text>
        <r>
          <rPr>
            <sz val="10"/>
            <color rgb="FF000000"/>
            <rFont val="Arial"/>
          </rPr>
          <t>CW78 O Light of Gentile Nations
CW41 Let All Together Praise Our God
(CW35 of the Father's Love Begotten
CW37 Once Again My Heart Rejoices)
CW49 Rejoice, Rejoice This Happy Morn</t>
        </r>
      </text>
    </comment>
    <comment ref="L67" authorId="0" shapeId="0" xr:uid="{00000000-0006-0000-0500-0000B4000000}">
      <text>
        <r>
          <rPr>
            <sz val="10"/>
            <color rgb="FF000000"/>
            <rFont val="Arial"/>
          </rPr>
          <t>From Everlasting to Everlasting
The passing of the old year reminds us how quickly our time on this earth comes to an end. Time is a fleeting commodity. Once an hour of our lives has passed, it can never be relived, redone, or reclaimed. Is there anything that we can do that is truly meaningful and endures beyond our brief existence on earth? Our times are in the Lord’s hands, and he is the one who gives meaning and purpose to our lives. In Christ we pray, “Lord, establish the work of our hands.”</t>
        </r>
      </text>
    </comment>
    <comment ref="M67" authorId="0" shapeId="0" xr:uid="{00000000-0006-0000-0500-0000B5000000}">
      <text>
        <r>
          <rPr>
            <sz val="10"/>
            <color rgb="FF000000"/>
            <rFont val="Arial"/>
          </rPr>
          <t>Eternal Father, before whom all generations rise and fall, teach us to think earnestly on the brevity of our lives and on the immensity of your goodness. Help us to enter the new year trusting in the name of your Son and walking in the way of his peace; through Jesus Christ our Lord, who lives and reigns with you and the Holy Spirit, one God, now and forever.</t>
        </r>
      </text>
    </comment>
    <comment ref="N67" authorId="0" shapeId="0" xr:uid="{00000000-0006-0000-0500-0000B6000000}">
      <text>
        <r>
          <rPr>
            <sz val="10"/>
            <color rgb="FF000000"/>
            <rFont val="Arial"/>
          </rPr>
          <t>Alleluia! Your word is a lamp to my feet and a light for my path. Alleluia!</t>
        </r>
      </text>
    </comment>
    <comment ref="R67" authorId="0" shapeId="0" xr:uid="{00000000-0006-0000-0500-0000B7000000}">
      <text>
        <r>
          <rPr>
            <sz val="10"/>
            <color rgb="FF000000"/>
            <rFont val="Arial"/>
          </rPr>
          <t>There is a time for everything under the sun. Finding satisfaction as we serve the Lord is a gift from God.</t>
        </r>
      </text>
    </comment>
    <comment ref="T67" authorId="0" shapeId="0" xr:uid="{00000000-0006-0000-0500-0000B8000000}">
      <text>
        <r>
          <rPr>
            <sz val="10"/>
            <color rgb="FF000000"/>
            <rFont val="Arial"/>
          </rPr>
          <t>Jesus teaches us to focus on the things that are important, not the things that are fleeting.</t>
        </r>
      </text>
    </comment>
    <comment ref="U67" authorId="0" shapeId="0" xr:uid="{00000000-0006-0000-0500-0000B9000000}">
      <text>
        <r>
          <rPr>
            <sz val="10"/>
            <color rgb="FF000000"/>
            <rFont val="Arial"/>
          </rPr>
          <t>In the passing of the years we are reminded that Man's time on earth is temporary and fleeting, but the Lord God is eternal.</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B1" authorId="0" shapeId="0" xr:uid="{00000000-0006-0000-0800-000001000000}">
      <text>
        <r>
          <rPr>
            <sz val="10"/>
            <color rgb="FF000000"/>
            <rFont val="Arial"/>
          </rPr>
          <t>Enter the calendar date for the service. Details for that service will show below. Currently only 2016 services are available.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B1" authorId="0" shapeId="0" xr:uid="{00000000-0006-0000-0900-000001000000}">
      <text>
        <r>
          <rPr>
            <sz val="10"/>
            <color rgb="FF000000"/>
            <rFont val="Arial"/>
          </rPr>
          <t>Enter the calendar date for the service. Details for that service will show below. For this page, only 2017 services are available.</t>
        </r>
      </text>
    </comment>
  </commentList>
</comments>
</file>

<file path=xl/sharedStrings.xml><?xml version="1.0" encoding="utf-8"?>
<sst xmlns="http://schemas.openxmlformats.org/spreadsheetml/2006/main" count="3947" uniqueCount="1476">
  <si>
    <t>Date</t>
  </si>
  <si>
    <t>Year:</t>
  </si>
  <si>
    <t>2018-B</t>
  </si>
  <si>
    <t>Sunday/Festival</t>
  </si>
  <si>
    <t>Day in Church year:</t>
  </si>
  <si>
    <t>Preach</t>
  </si>
  <si>
    <t>Preside</t>
  </si>
  <si>
    <t>Play</t>
  </si>
  <si>
    <t>Acolytes</t>
  </si>
  <si>
    <t>Preaching Minister:</t>
  </si>
  <si>
    <t>HC</t>
  </si>
  <si>
    <t>Teen Bible Study</t>
  </si>
  <si>
    <t>Adult Bible Class</t>
  </si>
  <si>
    <t>Teens</t>
  </si>
  <si>
    <t>Gone</t>
  </si>
  <si>
    <t>Service Notes</t>
  </si>
  <si>
    <t>Worship Resources</t>
  </si>
  <si>
    <t>Service Order</t>
  </si>
  <si>
    <t>Focus</t>
  </si>
  <si>
    <t>Prayer of the Day</t>
  </si>
  <si>
    <t>Verse of the Day</t>
  </si>
  <si>
    <t>Verse Instructions</t>
  </si>
  <si>
    <t>Sermon Text</t>
  </si>
  <si>
    <t>Sermon Theme</t>
  </si>
  <si>
    <t>First Lesson</t>
  </si>
  <si>
    <t>Second Lesson</t>
  </si>
  <si>
    <t>Gospel</t>
  </si>
  <si>
    <t>Presiding Minister:</t>
  </si>
  <si>
    <t>Organist:</t>
  </si>
  <si>
    <t>Order of Service:</t>
  </si>
  <si>
    <t>Psalm of the Day</t>
  </si>
  <si>
    <t>Hymns (blue: ELS hymn of week)</t>
  </si>
  <si>
    <t>Status</t>
  </si>
  <si>
    <t>Focus of the Day:</t>
  </si>
  <si>
    <t>Musicians</t>
  </si>
  <si>
    <t>Ushers</t>
  </si>
  <si>
    <t>Hymn Selector</t>
  </si>
  <si>
    <t>Prayer of the Day:</t>
  </si>
  <si>
    <t>Baptism of Our Lord</t>
  </si>
  <si>
    <t>Sermon text:</t>
  </si>
  <si>
    <t>Buchholz</t>
  </si>
  <si>
    <t>Christmas 1</t>
  </si>
  <si>
    <t>Kurt (Andrea Mon)</t>
  </si>
  <si>
    <t>Brauer</t>
  </si>
  <si>
    <t>Kurt</t>
  </si>
  <si>
    <t>Sermon theme:</t>
  </si>
  <si>
    <t>Gran</t>
  </si>
  <si>
    <t>No class</t>
  </si>
  <si>
    <t>First Lesson:</t>
  </si>
  <si>
    <t>Second Lesson:</t>
  </si>
  <si>
    <t>Gospel:</t>
  </si>
  <si>
    <t>Psalm:</t>
  </si>
  <si>
    <t>Morning Praise/Evening Prayer</t>
  </si>
  <si>
    <t>Morning Praise (CW), Evening Prayer</t>
  </si>
  <si>
    <t>Hymns:</t>
  </si>
  <si>
    <t>Matthew 2:2b</t>
  </si>
  <si>
    <t>Mark 1:11b</t>
  </si>
  <si>
    <t>With you I am well pleased</t>
  </si>
  <si>
    <t>34, 41, 45:1-3, 45:4</t>
  </si>
  <si>
    <t xml:space="preserve"> </t>
  </si>
  <si>
    <t>Bode</t>
  </si>
  <si>
    <t>Hymns (*Refer to Notes, blue: hymn of week at ELS)</t>
  </si>
  <si>
    <t>Hymn selector</t>
  </si>
  <si>
    <t>Pautz</t>
  </si>
  <si>
    <t>Kevin</t>
  </si>
  <si>
    <t>Brauer - Three Solas</t>
  </si>
  <si>
    <t>Christmas 2</t>
  </si>
  <si>
    <r>
      <rPr>
        <sz val="10"/>
        <color rgb="FF0000FF"/>
        <rFont val="Arial"/>
      </rPr>
      <t>737</t>
    </r>
    <r>
      <rPr>
        <sz val="10"/>
        <color rgb="FF000000"/>
        <rFont val="Arial"/>
      </rPr>
      <t>, 736:1-3, 736:4-6</t>
    </r>
  </si>
  <si>
    <t>--</t>
  </si>
  <si>
    <t>Divine Service I with Gathering Rite</t>
  </si>
  <si>
    <t>CW Morning Praise/Evening Prayer</t>
  </si>
  <si>
    <t>Epiphany 2</t>
  </si>
  <si>
    <t>Galatians 4:4-7</t>
  </si>
  <si>
    <t>Value baptism</t>
  </si>
  <si>
    <t>Redeemed. Restored. Forgiven.</t>
  </si>
  <si>
    <t>Genesis 17:1-7</t>
  </si>
  <si>
    <t xml:space="preserve">Kurt  </t>
  </si>
  <si>
    <t>Luke 1:68-75</t>
  </si>
  <si>
    <t xml:space="preserve">275,388, 93,334 </t>
  </si>
  <si>
    <r>
      <rPr>
        <sz val="10"/>
        <color rgb="FF000000"/>
        <rFont val="Arial"/>
      </rPr>
      <t>Gathering Rite,</t>
    </r>
    <r>
      <rPr>
        <sz val="10"/>
        <color rgb="FF000000"/>
        <rFont val="Arial"/>
      </rPr>
      <t xml:space="preserve"> 737, </t>
    </r>
    <r>
      <rPr>
        <sz val="10"/>
        <color rgb="FF000000"/>
        <rFont val="Arial"/>
      </rPr>
      <t>(709, 89)</t>
    </r>
  </si>
  <si>
    <t>Kali, Heather</t>
  </si>
  <si>
    <t>CWS Divine Service I</t>
  </si>
  <si>
    <t>Sarah Wait</t>
  </si>
  <si>
    <t>Divine Service I</t>
  </si>
  <si>
    <t>Isaiah 49:3</t>
  </si>
  <si>
    <t>Titus 3:4-7</t>
  </si>
  <si>
    <t>Baptism does great things</t>
  </si>
  <si>
    <t xml:space="preserve"> Glorify God with your body</t>
  </si>
  <si>
    <t>2*</t>
  </si>
  <si>
    <t>82,737* (89,310) Mon:737</t>
  </si>
  <si>
    <t>Erin</t>
  </si>
  <si>
    <t>Service of the Word</t>
  </si>
  <si>
    <t>735, Listen, God is Calling, (453, 463), Mon: 588:1,5-8</t>
  </si>
  <si>
    <t>Epiphany 3</t>
  </si>
  <si>
    <t>Jon Stern</t>
  </si>
  <si>
    <t>Jon Stern here</t>
  </si>
  <si>
    <t>Pointing people in the right direction.</t>
  </si>
  <si>
    <t>John 2:1-11</t>
  </si>
  <si>
    <t>I need</t>
  </si>
  <si>
    <t>Matthew 4:23</t>
  </si>
  <si>
    <t>85, 86, 15, 747</t>
  </si>
  <si>
    <t>Cassandra</t>
  </si>
  <si>
    <t>The grace relay race</t>
  </si>
  <si>
    <t>see notes*</t>
  </si>
  <si>
    <t>535,93,134,749</t>
  </si>
  <si>
    <t>Service of Word and Sacrament</t>
  </si>
  <si>
    <t>84, 392, 577, 379 (all from Stern)</t>
  </si>
  <si>
    <t>Epiphany 4</t>
  </si>
  <si>
    <t>It's only about Jesus</t>
  </si>
  <si>
    <t>Luke 4:14-21</t>
  </si>
  <si>
    <t>He's a man on a mission</t>
  </si>
  <si>
    <t>Luke 4:18a</t>
  </si>
  <si>
    <t>Mark 1:21-28</t>
  </si>
  <si>
    <t>The amazing authority of Jesus</t>
  </si>
  <si>
    <r>
      <rPr>
        <sz val="10"/>
        <color rgb="FF000000"/>
        <rFont val="Arial"/>
      </rPr>
      <t>87</t>
    </r>
    <r>
      <rPr>
        <sz val="10"/>
        <color rgb="FF000000"/>
        <rFont val="Arial"/>
      </rPr>
      <t xml:space="preserve">, </t>
    </r>
    <r>
      <rPr>
        <sz val="10"/>
        <color rgb="FF000000"/>
        <rFont val="Arial"/>
      </rPr>
      <t>Behold the Lamb of God</t>
    </r>
    <r>
      <rPr>
        <sz val="10"/>
        <color rgb="FF000000"/>
        <rFont val="Arial"/>
      </rPr>
      <t>,</t>
    </r>
    <r>
      <rPr>
        <sz val="10"/>
        <color rgb="FF000000"/>
        <rFont val="Arial"/>
      </rPr>
      <t xml:space="preserve"> (315,752)</t>
    </r>
  </si>
  <si>
    <t>Jenna</t>
  </si>
  <si>
    <t>19*</t>
  </si>
  <si>
    <t>79*,85 (742, 237) Mon:237</t>
  </si>
  <si>
    <t>Moke</t>
  </si>
  <si>
    <t>Kevin*</t>
  </si>
  <si>
    <t>No class - Science fair</t>
  </si>
  <si>
    <t>No class - Art fair</t>
  </si>
  <si>
    <t>726:1-4, Silence!  Frenzied, Unclean Spirit, (315, 347)</t>
  </si>
  <si>
    <t>Christian Education Sunday</t>
  </si>
  <si>
    <t>Common Service with Communion with Gathering Rite*</t>
  </si>
  <si>
    <t>Kevin (Mon: Andrea)</t>
  </si>
  <si>
    <t>Common Service</t>
  </si>
  <si>
    <t>New Morning Praise/Evening Prayer</t>
  </si>
  <si>
    <t>2 Timothy 3:14-17</t>
  </si>
  <si>
    <t>Ongoing Biblical training from infancy through retirement</t>
  </si>
  <si>
    <t>Pastor Gran: pls select one fitting for the day</t>
  </si>
  <si>
    <t>Leave a lasting impression</t>
  </si>
  <si>
    <t>Growing together in God's Word</t>
  </si>
  <si>
    <t>34*</t>
  </si>
  <si>
    <t>221, 514, 293, (312, 512) Mon:616</t>
  </si>
  <si>
    <t>Pre-8</t>
  </si>
  <si>
    <t>Transfiguration</t>
  </si>
  <si>
    <t>April</t>
  </si>
  <si>
    <r>
      <rPr>
        <sz val="10"/>
        <color rgb="FF000000"/>
        <rFont val="Arial"/>
      </rPr>
      <t>432,</t>
    </r>
    <r>
      <rPr>
        <sz val="10"/>
        <color rgb="FF000000"/>
        <rFont val="Arial"/>
      </rPr>
      <t xml:space="preserve"> 515</t>
    </r>
    <r>
      <rPr>
        <sz val="10"/>
        <color rgb="FF000000"/>
        <rFont val="Arial"/>
      </rPr>
      <t>, 293, (309, 771)</t>
    </r>
  </si>
  <si>
    <t>Pre - 8th</t>
  </si>
  <si>
    <t>Epiphany 5</t>
  </si>
  <si>
    <t>Buchholz - Exodus Story 1-20</t>
  </si>
  <si>
    <r>
      <rPr>
        <sz val="10"/>
        <color rgb="FF000000"/>
        <rFont val="Arial"/>
      </rPr>
      <t>506, 737</t>
    </r>
    <r>
      <rPr>
        <sz val="10"/>
        <color rgb="FF000000"/>
        <rFont val="Arial"/>
      </rPr>
      <t xml:space="preserve">, </t>
    </r>
    <r>
      <rPr>
        <sz val="10"/>
        <color rgb="FF000000"/>
        <rFont val="Arial"/>
      </rPr>
      <t>293</t>
    </r>
    <r>
      <rPr>
        <sz val="10"/>
        <color rgb="FF000000"/>
        <rFont val="Arial"/>
      </rPr>
      <t>, 332</t>
    </r>
  </si>
  <si>
    <t>Pre - 8, Piano, guitars</t>
  </si>
  <si>
    <t>Erin (Mon: Kevin)</t>
  </si>
  <si>
    <t>(Intro Haugen Kyrie, Gloria), Common Service</t>
  </si>
  <si>
    <t>John 8:12</t>
  </si>
  <si>
    <t>2 Corinthians 4:3-6</t>
  </si>
  <si>
    <t>See God's glory in the face of Christ</t>
  </si>
  <si>
    <t>Luke 9:28-36</t>
  </si>
  <si>
    <t>148*</t>
  </si>
  <si>
    <t>280:1-4, 369*, 280:5-6, "Christ Begins"</t>
  </si>
  <si>
    <t>AC</t>
  </si>
  <si>
    <t>Ash Wednesday</t>
  </si>
  <si>
    <t>Mark 9:7b</t>
  </si>
  <si>
    <t>Similar to last year's; see service notes and Pastor Buchholz's draft</t>
  </si>
  <si>
    <t>Let your light shine</t>
  </si>
  <si>
    <t>It's good to be there</t>
  </si>
  <si>
    <t>Luke 18:9-14</t>
  </si>
  <si>
    <t>This man went home justified</t>
  </si>
  <si>
    <t>51a*</t>
  </si>
  <si>
    <t>308:1,2,5-7; 396, 304:1-5, 304:6-7</t>
  </si>
  <si>
    <t>JC, volunteers</t>
  </si>
  <si>
    <t>Lent 1</t>
  </si>
  <si>
    <r>
      <t>369</t>
    </r>
    <r>
      <rPr>
        <sz val="10"/>
        <color rgb="FF000000"/>
        <rFont val="Arial"/>
      </rPr>
      <t>, (97, 315)</t>
    </r>
  </si>
  <si>
    <t>JC</t>
  </si>
  <si>
    <r>
      <t xml:space="preserve">280,279, </t>
    </r>
    <r>
      <rPr>
        <sz val="10"/>
        <color rgb="FF000000"/>
        <rFont val="Arial"/>
      </rPr>
      <t>394</t>
    </r>
    <r>
      <rPr>
        <sz val="10"/>
        <color rgb="FF000000"/>
        <rFont val="Arial"/>
      </rPr>
      <t>, 458</t>
    </r>
  </si>
  <si>
    <t>X</t>
  </si>
  <si>
    <t>Kiecker</t>
  </si>
  <si>
    <t>Epiphany 6</t>
  </si>
  <si>
    <t>Jesus is our great High Priest</t>
  </si>
  <si>
    <t>Intro Haugen Kyrie, Gloria, Common Service</t>
  </si>
  <si>
    <t xml:space="preserve">CW Common Service </t>
  </si>
  <si>
    <t>359HOD [268] (105, 108) 103</t>
  </si>
  <si>
    <t>JC, AC</t>
  </si>
  <si>
    <t xml:space="preserve">Kevin </t>
  </si>
  <si>
    <t>John 6:68</t>
  </si>
  <si>
    <t>Matthew 4:10b</t>
  </si>
  <si>
    <t>Luke 4:1-13</t>
  </si>
  <si>
    <t>God's secret wisdom</t>
  </si>
  <si>
    <t>Don't blow it!</t>
  </si>
  <si>
    <r>
      <t>221, 283,</t>
    </r>
    <r>
      <rPr>
        <b/>
        <sz val="10"/>
        <rFont val="Arial"/>
      </rPr>
      <t xml:space="preserve"> </t>
    </r>
    <r>
      <rPr>
        <sz val="10"/>
        <color rgb="FF000000"/>
        <rFont val="Arial"/>
      </rPr>
      <t>(</t>
    </r>
    <r>
      <rPr>
        <b/>
        <sz val="10"/>
        <color rgb="FF0000FF"/>
        <rFont val="Arial"/>
      </rPr>
      <t>79</t>
    </r>
    <r>
      <rPr>
        <sz val="10"/>
        <color rgb="FF073763"/>
        <rFont val="Arial"/>
      </rPr>
      <t>,</t>
    </r>
    <r>
      <rPr>
        <sz val="10"/>
        <color rgb="FF000000"/>
        <rFont val="Arial"/>
      </rPr>
      <t xml:space="preserve"> 282)</t>
    </r>
  </si>
  <si>
    <t>JC, Sarah, Joel</t>
  </si>
  <si>
    <t>Epiphany 7</t>
  </si>
  <si>
    <t>91*</t>
  </si>
  <si>
    <t>202, 200, (121, 419)</t>
  </si>
  <si>
    <t>(Intro Haugen Kyrie, Gloria), Service of the Word</t>
  </si>
  <si>
    <t>Midweek Lent 2</t>
  </si>
  <si>
    <t>Winterstein</t>
  </si>
  <si>
    <t xml:space="preserve">CWNSS Compline II </t>
  </si>
  <si>
    <t>Luke 6:36</t>
  </si>
  <si>
    <t>Love your haters</t>
  </si>
  <si>
    <t>John 11:45-53</t>
  </si>
  <si>
    <t>It is better that one man die for the people</t>
  </si>
  <si>
    <t>Passion history</t>
  </si>
  <si>
    <t>31*</t>
  </si>
  <si>
    <t>111, 114:1-6, 108, 114:7</t>
  </si>
  <si>
    <t>Lent 2</t>
  </si>
  <si>
    <t>241, 492, 493, 499</t>
  </si>
  <si>
    <t>CW Common Service  - minus communion liturgy</t>
  </si>
  <si>
    <t>202 (alt tune), 200, 768, 455</t>
  </si>
  <si>
    <t>Martin Spaude</t>
  </si>
  <si>
    <t>Erin, Kurt Monday</t>
  </si>
  <si>
    <t>Philippians 2:8b</t>
  </si>
  <si>
    <t>Befriend the cross of Christ</t>
  </si>
  <si>
    <t>Jesus is our compassionate High Priest</t>
  </si>
  <si>
    <t>Better than being there</t>
  </si>
  <si>
    <t>42-43</t>
  </si>
  <si>
    <r>
      <t xml:space="preserve">95, </t>
    </r>
    <r>
      <rPr>
        <b/>
        <sz val="10"/>
        <color rgb="FF0000FF"/>
        <rFont val="Arial"/>
      </rPr>
      <t>97</t>
    </r>
    <r>
      <rPr>
        <sz val="10"/>
        <color rgb="FF000000"/>
        <rFont val="Arial"/>
      </rPr>
      <t>, (85, 96) ; Monday closing hymn: 96:1,5</t>
    </r>
  </si>
  <si>
    <t>Sonshine</t>
  </si>
  <si>
    <t>391*, 588*, 466, 771</t>
  </si>
  <si>
    <t>Midweek Lent 3</t>
  </si>
  <si>
    <t>111, 372, 592</t>
  </si>
  <si>
    <t>Moke 6:30</t>
  </si>
  <si>
    <t>CW Evening Prayer (begin with Service of Light)</t>
  </si>
  <si>
    <t>Erin (Mon: Kevin</t>
  </si>
  <si>
    <t>Special Lent</t>
  </si>
  <si>
    <t>Matthew 26:1-5</t>
  </si>
  <si>
    <t>Not during the feast</t>
  </si>
  <si>
    <t>103, 128, 362, 587</t>
  </si>
  <si>
    <t>Lent 3</t>
  </si>
  <si>
    <t>Branches Band</t>
  </si>
  <si>
    <t>Repent: Turn to Jesus and not yourself</t>
  </si>
  <si>
    <t>Branches Band provides??</t>
  </si>
  <si>
    <t>John 3:14,15</t>
  </si>
  <si>
    <t>1 Corinthians 10:1-13</t>
  </si>
  <si>
    <t>Lead us not into temptation</t>
  </si>
  <si>
    <t>In Adam, (303:1-4, 125), 303:5</t>
  </si>
  <si>
    <t>3:30 JC; 6:30 E adults</t>
  </si>
  <si>
    <t>Be a daily disciple</t>
  </si>
  <si>
    <t>Luke 13:1-9</t>
  </si>
  <si>
    <t>Sonshine Choir</t>
  </si>
  <si>
    <t>Midweek Lent 4</t>
  </si>
  <si>
    <t>Sara (3:30), KB 6:30</t>
  </si>
  <si>
    <t>Luke 23:6-12</t>
  </si>
  <si>
    <t>He had been wanting to see Jesus</t>
  </si>
  <si>
    <t>37 (CWS)</t>
  </si>
  <si>
    <t>127, 118, 371:1-4, 371:5-7</t>
  </si>
  <si>
    <t>Lent 4</t>
  </si>
  <si>
    <t>Gifts from God's grace</t>
  </si>
  <si>
    <t>CW Common Service - minus communion liturgy</t>
  </si>
  <si>
    <t>367, 452, (453, 356)</t>
  </si>
  <si>
    <t>SC (O Lord Our Lord, Psalm 73, Hymn 125)</t>
  </si>
  <si>
    <t>John 3:16</t>
  </si>
  <si>
    <t>Welcome home!</t>
  </si>
  <si>
    <t>Isaiah 12:1-6</t>
  </si>
  <si>
    <t>1 Corinthians 1:18-25</t>
  </si>
  <si>
    <t>Luke 15:1-3,11b-32</t>
  </si>
  <si>
    <t>32*</t>
  </si>
  <si>
    <t>339, 349*, 288, 379</t>
  </si>
  <si>
    <t>Midweek Lent 5</t>
  </si>
  <si>
    <t>Spaude</t>
  </si>
  <si>
    <r>
      <rPr>
        <i/>
        <sz val="10"/>
        <color rgb="FF000000"/>
        <rFont val="Arial"/>
      </rPr>
      <t>754</t>
    </r>
    <r>
      <rPr>
        <sz val="10"/>
        <color rgb="FF000000"/>
        <rFont val="Arial"/>
      </rPr>
      <t xml:space="preserve">, 121, </t>
    </r>
    <r>
      <rPr>
        <sz val="10"/>
        <color rgb="FF000000"/>
        <rFont val="Arial"/>
      </rPr>
      <t>385</t>
    </r>
    <r>
      <rPr>
        <sz val="10"/>
        <color rgb="FF000000"/>
        <rFont val="Arial"/>
      </rPr>
      <t>, 129</t>
    </r>
  </si>
  <si>
    <t>ALA vocal ensemble</t>
  </si>
  <si>
    <t>Rosenbaum/Buchholz</t>
  </si>
  <si>
    <t>John 19:12-16a</t>
  </si>
  <si>
    <t>Allen Schroeder</t>
  </si>
  <si>
    <t>We have no king but Caesar</t>
  </si>
  <si>
    <t>106, 115, 373, 593</t>
  </si>
  <si>
    <t>6-8, chimes</t>
  </si>
  <si>
    <t>Jesus is our self-sacrificing High Priest</t>
  </si>
  <si>
    <t>Prayer at the Close of Day (Compline II)</t>
  </si>
  <si>
    <t>Lent 5</t>
  </si>
  <si>
    <t>Kurt (Sun), KB (Mon)</t>
  </si>
  <si>
    <t>Future Planning Committee</t>
  </si>
  <si>
    <r>
      <t xml:space="preserve">104, 128, </t>
    </r>
    <r>
      <rPr>
        <sz val="10"/>
        <color rgb="FF0000FF"/>
        <rFont val="Arial"/>
      </rPr>
      <t>587</t>
    </r>
  </si>
  <si>
    <t>CW Common Service</t>
  </si>
  <si>
    <t>6-8 &amp; Chimes</t>
  </si>
  <si>
    <t>Craig</t>
  </si>
  <si>
    <t>Mark 10:45</t>
  </si>
  <si>
    <t>Isaiah 43:16-21</t>
  </si>
  <si>
    <t>Kurt (Mon: Andrea)</t>
  </si>
  <si>
    <t>Repent: Turn to Jesus; He changes your life</t>
  </si>
  <si>
    <t>392,110*,(122,401), Mon: 587:3,4</t>
  </si>
  <si>
    <t>108 [593] 120, 476, 348</t>
  </si>
  <si>
    <t>Midweek Lent 6</t>
  </si>
  <si>
    <t>Paul Schroeder</t>
  </si>
  <si>
    <t xml:space="preserve">chimes, grades 6-8 (Kali 630) </t>
  </si>
  <si>
    <t>Power from weakness, wisdom from folly</t>
  </si>
  <si>
    <t>CWNSS Compline II</t>
  </si>
  <si>
    <t>Luke 23:39-43</t>
  </si>
  <si>
    <t>Don't you fear God?</t>
  </si>
  <si>
    <t>372, 99, 125, 129</t>
  </si>
  <si>
    <t>gr. 1-5</t>
  </si>
  <si>
    <t>Palm Sunday</t>
  </si>
  <si>
    <t>Divine Service I no Gloria</t>
  </si>
  <si>
    <t>224, 345, 401, 579</t>
  </si>
  <si>
    <t>Procession with palms / CWS Divine Serivce I</t>
  </si>
  <si>
    <t>John 12:23</t>
  </si>
  <si>
    <t>Philippians 2:5-11</t>
  </si>
  <si>
    <t>My Jesus, my King</t>
  </si>
  <si>
    <t>Zecharaiah 9:9-10</t>
  </si>
  <si>
    <t>Luke 19:28-40</t>
  </si>
  <si>
    <t>118*</t>
  </si>
  <si>
    <t>131, 134:1-3, 133 (HoD), 363 (closing)</t>
  </si>
  <si>
    <t>Nick Guillaume</t>
  </si>
  <si>
    <t>He had to</t>
  </si>
  <si>
    <t>Maundy Thursday</t>
  </si>
  <si>
    <t>CWOS Maundy Thursday / CW Common Service</t>
  </si>
  <si>
    <t>Jesus our High Priest serves at a great altar</t>
  </si>
  <si>
    <t>Hebrews 10:15-25</t>
  </si>
  <si>
    <t>Hold on to hope</t>
  </si>
  <si>
    <t>Exodus 12:1-14</t>
  </si>
  <si>
    <t>116*</t>
  </si>
  <si>
    <t>104, 110*, 307* (135, 313) Psalm 88*</t>
  </si>
  <si>
    <t>Men's Choir</t>
  </si>
  <si>
    <t>108, 351 [274] 593</t>
  </si>
  <si>
    <t>SC, violin 3:30</t>
  </si>
  <si>
    <t>404, 756, (anthem, 309, 391)</t>
  </si>
  <si>
    <t>Good Friday Afternoon</t>
  </si>
  <si>
    <t>Repent: Turn to Jesus when you face temptation</t>
  </si>
  <si>
    <t>CWOS Cross of Christ / CW Common Service</t>
  </si>
  <si>
    <t>John 19:17-30</t>
  </si>
  <si>
    <t>He died well</t>
  </si>
  <si>
    <t>Isaiah 52:13-53:12</t>
  </si>
  <si>
    <t>Heb 4:14-16,5:7-9</t>
  </si>
  <si>
    <t>none</t>
  </si>
  <si>
    <t>105:1-4, 115, 105:5* (119, 121) 105:6,7</t>
  </si>
  <si>
    <t>126 [591] 104, 122, 103</t>
  </si>
  <si>
    <t>Schuelein</t>
  </si>
  <si>
    <t>Good Friday Tenebrae</t>
  </si>
  <si>
    <t>Tenebrae</t>
  </si>
  <si>
    <t>It has to happen</t>
  </si>
  <si>
    <t>118, 117:1,2; 117:3,4; 117:5-7; 127*; 588:1-4; 588:5-7</t>
  </si>
  <si>
    <t>Women's Choir</t>
  </si>
  <si>
    <t>Hey, you blind, look and see!</t>
  </si>
  <si>
    <t>Easter Song Service</t>
  </si>
  <si>
    <t>No class - Easter breakfast</t>
  </si>
  <si>
    <t>Song service</t>
  </si>
  <si>
    <t>1 Cor 15:51-57</t>
  </si>
  <si>
    <t>God wins!</t>
  </si>
  <si>
    <r>
      <t xml:space="preserve">381, </t>
    </r>
    <r>
      <rPr>
        <sz val="10"/>
        <color rgb="FF0000FF"/>
        <rFont val="Arial"/>
      </rPr>
      <t>391</t>
    </r>
    <r>
      <rPr>
        <sz val="10"/>
        <color rgb="FF000000"/>
        <rFont val="Arial"/>
      </rPr>
      <t>, (385, 399), Mon: 385</t>
    </r>
  </si>
  <si>
    <r>
      <t>230,</t>
    </r>
    <r>
      <rPr>
        <sz val="10"/>
        <color rgb="FF0000FF"/>
        <rFont val="Arial"/>
      </rPr>
      <t xml:space="preserve">  </t>
    </r>
    <r>
      <rPr>
        <sz val="10"/>
        <color rgb="FF000000"/>
        <rFont val="Arial"/>
      </rPr>
      <t>367,</t>
    </r>
    <r>
      <rPr>
        <sz val="10"/>
        <color rgb="FF0000FF"/>
        <rFont val="Arial"/>
      </rPr>
      <t xml:space="preserve"> </t>
    </r>
    <r>
      <rPr>
        <sz val="10"/>
        <color rgb="FF000000"/>
        <rFont val="Arial"/>
      </rPr>
      <t>353, 322</t>
    </r>
  </si>
  <si>
    <t>157 st 1,2, 157 st 3,4, First Song of Isaiah*, 145:1-3; 145:4,5, 160*, 149 st1,2,4,6</t>
  </si>
  <si>
    <t>Easter Festival</t>
  </si>
  <si>
    <t>No HC</t>
  </si>
  <si>
    <t>Derge</t>
  </si>
  <si>
    <t>Festival</t>
  </si>
  <si>
    <t>Psalm 118:24</t>
  </si>
  <si>
    <t>Luke 24:4-8</t>
  </si>
  <si>
    <t>Remember his words</t>
  </si>
  <si>
    <t>166*, God's Right Hand*, 156, 152 st 1-4*, 152 st 5-8*</t>
  </si>
  <si>
    <t>Repent: Turn to Jesus; Do not turn away</t>
  </si>
  <si>
    <t>Easter 2</t>
  </si>
  <si>
    <t>128 [593] 339, 347, 321</t>
  </si>
  <si>
    <t>Paige M 330, Kali 630</t>
  </si>
  <si>
    <t>Jesus our High Priest makes us priests</t>
  </si>
  <si>
    <t>Erin (Kevin Monday)</t>
  </si>
  <si>
    <t>CWS Divine Service II</t>
  </si>
  <si>
    <t>Revelation 1:4-18</t>
  </si>
  <si>
    <t>I want to be on His side</t>
  </si>
  <si>
    <t>Matt Goldie</t>
  </si>
  <si>
    <t>Gran - The New Covenant</t>
  </si>
  <si>
    <t>114:1,2;6,7, 115, 274, 590</t>
  </si>
  <si>
    <t>viola, 6:30</t>
  </si>
  <si>
    <t>16*</t>
  </si>
  <si>
    <t>752:1-3, 165*, 558, 752:4</t>
  </si>
  <si>
    <t>Hahnke</t>
  </si>
  <si>
    <t>Kurt (Mon: Elizabeth)</t>
  </si>
  <si>
    <t>Easter 3</t>
  </si>
  <si>
    <t>Kurt; Mon: Erica</t>
  </si>
  <si>
    <t>Wait</t>
  </si>
  <si>
    <t>The Spirit of victory</t>
  </si>
  <si>
    <t>John 21:1-14</t>
  </si>
  <si>
    <t>It is the Lord!</t>
  </si>
  <si>
    <t>67*</t>
  </si>
  <si>
    <t>153, 143, (265, 743)</t>
  </si>
  <si>
    <t>Selective memory</t>
  </si>
  <si>
    <t>K-5</t>
  </si>
  <si>
    <t>Easter 4</t>
  </si>
  <si>
    <r>
      <rPr>
        <sz val="10"/>
        <color rgb="FF000000"/>
        <rFont val="Arial"/>
      </rPr>
      <t xml:space="preserve">496, 467, (743, </t>
    </r>
    <r>
      <rPr>
        <sz val="10"/>
        <color rgb="FF000000"/>
        <rFont val="Arial"/>
      </rPr>
      <t>105),</t>
    </r>
    <r>
      <rPr>
        <sz val="10"/>
        <color rgb="FF000000"/>
        <rFont val="Arial"/>
      </rPr>
      <t xml:space="preserve"> Mon: 588:1,2,6,7</t>
    </r>
  </si>
  <si>
    <t>Moke Monday</t>
  </si>
  <si>
    <t>Do you hear what I hear?</t>
  </si>
  <si>
    <t>Brady Coleman</t>
  </si>
  <si>
    <t>Coleman</t>
  </si>
  <si>
    <t>387, 122, 110:1-3&amp;7, 319</t>
  </si>
  <si>
    <t>Maggie</t>
  </si>
  <si>
    <t>23*</t>
  </si>
  <si>
    <r>
      <t xml:space="preserve">432*, 375, </t>
    </r>
    <r>
      <rPr>
        <b/>
        <sz val="10"/>
        <color rgb="FF0000FF"/>
        <rFont val="Arial"/>
      </rPr>
      <t>449</t>
    </r>
    <r>
      <rPr>
        <sz val="10"/>
        <color rgb="FF000000"/>
        <rFont val="Arial"/>
      </rPr>
      <t>, 728*</t>
    </r>
  </si>
  <si>
    <t>Repent: Turn to Jesus; He holds the key to heaven</t>
  </si>
  <si>
    <t>Sunday School</t>
  </si>
  <si>
    <t>Elizabeth</t>
  </si>
  <si>
    <t>Easter 5</t>
  </si>
  <si>
    <t>CWS Divine Service II*</t>
  </si>
  <si>
    <t>122:1-3 [591] 417, 122:4-5, 587</t>
  </si>
  <si>
    <t>Sonshine 330, Moke 630</t>
  </si>
  <si>
    <t>Jesus is our perfect High Priest</t>
  </si>
  <si>
    <t>Acts 13:44-52</t>
  </si>
  <si>
    <t>I've got good news for you</t>
  </si>
  <si>
    <t>126, 127, 274, 591</t>
  </si>
  <si>
    <t>145*</t>
  </si>
  <si>
    <t>F horn 6:30</t>
  </si>
  <si>
    <t>406, 538*, (309, 147)</t>
  </si>
  <si>
    <t xml:space="preserve">Palm Sunday </t>
  </si>
  <si>
    <t>Easter 6</t>
  </si>
  <si>
    <t>Do you believe in the Resurrection?</t>
  </si>
  <si>
    <t>Alt. Beginning, Common Service</t>
  </si>
  <si>
    <t>Life in the light</t>
  </si>
  <si>
    <t>You're the King</t>
  </si>
  <si>
    <t>139*</t>
  </si>
  <si>
    <t>752:1-2, Martha Mary, 440, 752:3-4</t>
  </si>
  <si>
    <r>
      <rPr>
        <b/>
        <sz val="10"/>
        <color rgb="FF0000FF"/>
        <rFont val="Arial"/>
      </rPr>
      <t>141</t>
    </r>
    <r>
      <rPr>
        <sz val="10"/>
        <color rgb="FF000000"/>
        <rFont val="Arial"/>
      </rPr>
      <t>, 760*, 181, 353</t>
    </r>
  </si>
  <si>
    <t>Degner</t>
  </si>
  <si>
    <t>Easter 7/Ascension</t>
  </si>
  <si>
    <t>John 17:20-26</t>
  </si>
  <si>
    <t>I want you to be here</t>
  </si>
  <si>
    <r>
      <rPr>
        <sz val="10"/>
        <color rgb="FF0000FF"/>
        <rFont val="Arial"/>
      </rPr>
      <t>131</t>
    </r>
    <r>
      <rPr>
        <sz val="10"/>
        <color rgb="FF000000"/>
        <rFont val="Arial"/>
      </rPr>
      <t>, 133, (8,134), Mon: 134</t>
    </r>
  </si>
  <si>
    <t>Male choir</t>
  </si>
  <si>
    <t xml:space="preserve">Craig </t>
  </si>
  <si>
    <t>47*</t>
  </si>
  <si>
    <t>Repent: Turn to Jesus; He longs to forgive you</t>
  </si>
  <si>
    <t>Special</t>
  </si>
  <si>
    <r>
      <rPr>
        <sz val="10"/>
        <color rgb="FF000000"/>
        <rFont val="Arial"/>
      </rPr>
      <t>Across the Lands*, 171* (</t>
    </r>
    <r>
      <rPr>
        <sz val="10"/>
        <color rgb="FF000000"/>
        <rFont val="Arial"/>
      </rPr>
      <t>382</t>
    </r>
    <r>
      <rPr>
        <sz val="10"/>
        <color rgb="FF000000"/>
        <rFont val="Arial"/>
      </rPr>
      <t>, 406), 502*</t>
    </r>
  </si>
  <si>
    <t>1 Corinthians 11:26</t>
  </si>
  <si>
    <t>124 [593] 338, 123, 592</t>
  </si>
  <si>
    <t>Elena B 330, Kali 630</t>
  </si>
  <si>
    <t>I come, O Savior, to your table</t>
  </si>
  <si>
    <t>Kurt (Kevin Monday)</t>
  </si>
  <si>
    <t>Pentecost</t>
  </si>
  <si>
    <t>Sun: Kurt, Mon: Kevin</t>
  </si>
  <si>
    <t xml:space="preserve">120, 313 [307] (743, 310) 588 </t>
  </si>
  <si>
    <t>Female choir, string quartet</t>
  </si>
  <si>
    <t>see notes, then Common Service</t>
  </si>
  <si>
    <t>Good Friday</t>
  </si>
  <si>
    <t>Buchholz</t>
  </si>
  <si>
    <t>Something to shout about</t>
  </si>
  <si>
    <t xml:space="preserve">131, Behold the Lamb of God, (134, 133:1-3), Close: 133:4,5 </t>
  </si>
  <si>
    <t>Acts 2:1-21</t>
  </si>
  <si>
    <t>You are God's Miracle</t>
  </si>
  <si>
    <t>Isaiah 53:4</t>
  </si>
  <si>
    <t>Confessional service</t>
  </si>
  <si>
    <t>Strength for the journey</t>
  </si>
  <si>
    <t>By his wounds we are healed</t>
  </si>
  <si>
    <t>51b*</t>
  </si>
  <si>
    <r>
      <rPr>
        <b/>
        <sz val="10"/>
        <color rgb="FF0000FF"/>
        <rFont val="Arial"/>
      </rPr>
      <t>184</t>
    </r>
    <r>
      <rPr>
        <sz val="10"/>
        <color rgb="FF000000"/>
        <rFont val="Arial"/>
      </rPr>
      <t>, 183, 176, see notes</t>
    </r>
  </si>
  <si>
    <t>JC, Chimes</t>
  </si>
  <si>
    <t>105:1-4; [105:5] 136 (743, 311) 588</t>
  </si>
  <si>
    <t>111, 107 [101] (105, 138) 114:7</t>
  </si>
  <si>
    <t>Pastor/Bode</t>
  </si>
  <si>
    <t>Holy Trinity</t>
  </si>
  <si>
    <t>No Class - Confirmation</t>
  </si>
  <si>
    <t>No class - Confirmation</t>
  </si>
  <si>
    <r>
      <t xml:space="preserve">117, </t>
    </r>
    <r>
      <rPr>
        <sz val="10"/>
        <color rgb="FF0000FF"/>
        <rFont val="Arial"/>
      </rPr>
      <t>760</t>
    </r>
    <r>
      <rPr>
        <sz val="10"/>
        <color rgb="FF000000"/>
        <rFont val="Arial"/>
      </rPr>
      <t>, 139:1-3,139:4-6, 113, 105:7</t>
    </r>
  </si>
  <si>
    <t>Festival / CW Service of Word and Sacrament</t>
  </si>
  <si>
    <t>Romans 5:1-5</t>
  </si>
  <si>
    <t>What does your God want for you?</t>
  </si>
  <si>
    <t>Compline II, Communion</t>
  </si>
  <si>
    <t>Non-perishables</t>
  </si>
  <si>
    <t>Paid in full</t>
  </si>
  <si>
    <t>150*</t>
  </si>
  <si>
    <t>see service notes</t>
  </si>
  <si>
    <t>AC, Moke</t>
  </si>
  <si>
    <t>Two-service schedule</t>
  </si>
  <si>
    <t>Sunday</t>
  </si>
  <si>
    <t>143, 150, 152:1-4, 152:5-8, 156:1-4, 156:5, 145 [162] 219</t>
  </si>
  <si>
    <t>various</t>
  </si>
  <si>
    <t>Hymns</t>
  </si>
  <si>
    <t>114:1-6, 140, (139, 138) 114:7</t>
  </si>
  <si>
    <t>Easter is a big deal</t>
  </si>
  <si>
    <t>4/14/2017-A</t>
  </si>
  <si>
    <t>Pentecost 2C</t>
  </si>
  <si>
    <t>No class - Memorial Day</t>
  </si>
  <si>
    <t>Order of Tenebrae</t>
  </si>
  <si>
    <t>141 [265] 149, 157, 160</t>
  </si>
  <si>
    <t xml:space="preserve">Common Service  </t>
  </si>
  <si>
    <t>Divine II</t>
  </si>
  <si>
    <t>127:1,2; 127:3,4; Behold the Lamb; 121:1-3; 121:4,5; Psalm 22; Choir anthem; Choir 105:7</t>
  </si>
  <si>
    <t>John 20:29b</t>
  </si>
  <si>
    <t>No other gospel</t>
  </si>
  <si>
    <t>Easter Dawn</t>
  </si>
  <si>
    <t>Surprise!</t>
  </si>
  <si>
    <t>768, 288*, (403), Monday close 588:1,6,7</t>
  </si>
  <si>
    <t>1 Corinthians 15:22</t>
  </si>
  <si>
    <t>166, 155, (165, 317:1), Mon: 317:1</t>
  </si>
  <si>
    <t>Pentecost 3C</t>
  </si>
  <si>
    <t>Rejoicing comes in the morning</t>
  </si>
  <si>
    <t>Erin (Mon: Sara)</t>
  </si>
  <si>
    <t>CW Morning Praise/CW Evening Prayer</t>
  </si>
  <si>
    <t>Seven Churches: Ephesus</t>
  </si>
  <si>
    <t>Luke 24:32</t>
  </si>
  <si>
    <t>Repent and Love Again</t>
  </si>
  <si>
    <t>Let's go for a walk</t>
  </si>
  <si>
    <t>149, Christ is Risen, 166, 160, 156:1-3, 156:4-5</t>
  </si>
  <si>
    <t>136*</t>
  </si>
  <si>
    <r>
      <t xml:space="preserve">239, </t>
    </r>
    <r>
      <rPr>
        <sz val="10"/>
        <color rgb="FFFF0000"/>
        <rFont val="Arial"/>
      </rPr>
      <t>476</t>
    </r>
    <r>
      <rPr>
        <sz val="10"/>
        <color rgb="FF000000"/>
        <rFont val="Arial"/>
      </rPr>
      <t xml:space="preserve">, </t>
    </r>
    <r>
      <rPr>
        <sz val="10"/>
        <color rgb="FFFF0000"/>
        <rFont val="Arial"/>
      </rPr>
      <t>434:1*</t>
    </r>
    <r>
      <rPr>
        <sz val="10"/>
        <color rgb="FF000000"/>
        <rFont val="Arial"/>
      </rPr>
      <t>, 462, 745</t>
    </r>
  </si>
  <si>
    <t>Brauer/Bode</t>
  </si>
  <si>
    <t>146, [265], 167, 153, 152:1,2,3,8</t>
  </si>
  <si>
    <t>Pentecost 4C</t>
  </si>
  <si>
    <t>Kevin; Andrea (Mon)</t>
  </si>
  <si>
    <t>No class - Easter</t>
  </si>
  <si>
    <t>Word and Sacrament</t>
  </si>
  <si>
    <t>Seven Churches: Smyrna</t>
  </si>
  <si>
    <t>John 10:14</t>
  </si>
  <si>
    <t>Don't be afraid</t>
  </si>
  <si>
    <t>Speak boldly</t>
  </si>
  <si>
    <t>The resurrection defines you!</t>
  </si>
  <si>
    <t>27*</t>
  </si>
  <si>
    <t>416, 465* (742*, 426) Mon Close: 589</t>
  </si>
  <si>
    <t>436, 374 (557, 315)</t>
  </si>
  <si>
    <t>Pentecost 5C</t>
  </si>
  <si>
    <t>Seven Churches: Pergamum</t>
  </si>
  <si>
    <t>Stay on Jesus' Side</t>
  </si>
  <si>
    <t>Common</t>
  </si>
  <si>
    <t>150, [Now All the Vaults] 146, 152:1-4, 152:5-8</t>
  </si>
  <si>
    <t>Buchholz/Bode</t>
  </si>
  <si>
    <t>John 14:6</t>
  </si>
  <si>
    <t>Bear fruit for the Father</t>
  </si>
  <si>
    <t>119*</t>
  </si>
  <si>
    <t>405, 771, 463, 745</t>
  </si>
  <si>
    <t>Brauer - Struggles within Lutheranism</t>
  </si>
  <si>
    <t>Pentecost 6C</t>
  </si>
  <si>
    <t>Kevin (Mon: Ruth)</t>
  </si>
  <si>
    <t>1 baptism</t>
  </si>
  <si>
    <t>Seven Churches: Thyatira</t>
  </si>
  <si>
    <t>Divine Service II</t>
  </si>
  <si>
    <t>Do not be accustomed to evil</t>
  </si>
  <si>
    <r>
      <rPr>
        <sz val="10"/>
        <color rgb="FF000000"/>
        <rFont val="Arial"/>
      </rPr>
      <t>160</t>
    </r>
    <r>
      <rPr>
        <sz val="10"/>
        <color rgb="FF000000"/>
        <rFont val="Arial"/>
      </rPr>
      <t xml:space="preserve">, </t>
    </r>
    <r>
      <rPr>
        <sz val="10"/>
        <color rgb="FF000000"/>
        <rFont val="Arial"/>
      </rPr>
      <t xml:space="preserve">Fruitful Trees the Spirit's Sowing, (385, 265), Mon: 385:1-3 </t>
    </r>
  </si>
  <si>
    <t>458, 444, (743, 462)</t>
  </si>
  <si>
    <t>Ruth</t>
  </si>
  <si>
    <t>Hope lives</t>
  </si>
  <si>
    <t>Pentecost 7C</t>
  </si>
  <si>
    <t>Sara</t>
  </si>
  <si>
    <t>New Morning Praise</t>
  </si>
  <si>
    <t>Seven Churches: Sardis</t>
  </si>
  <si>
    <t>Wake up!</t>
  </si>
  <si>
    <t>Do you love me . . . really?</t>
  </si>
  <si>
    <t>141, [See notes], 165, (My Hope is in the Lord, 145) Mon: My Hope is in the Lord</t>
  </si>
  <si>
    <t>Karen Behm recognition</t>
  </si>
  <si>
    <t>66*</t>
  </si>
  <si>
    <t>234*, 241, 249, 619</t>
  </si>
  <si>
    <t>Warskow</t>
  </si>
  <si>
    <t>184, 479 text, 490, Jesus Loves Me</t>
  </si>
  <si>
    <t>Pentecost 8C</t>
  </si>
  <si>
    <t>SC, Sonntag sax</t>
  </si>
  <si>
    <t>April Degner</t>
  </si>
  <si>
    <t>Seven Churches: Philadelphia</t>
  </si>
  <si>
    <t>Easter 7/Ascension/Mother's Day</t>
  </si>
  <si>
    <t xml:space="preserve">The door is open </t>
  </si>
  <si>
    <t>A prayer for God's children</t>
  </si>
  <si>
    <t>25*</t>
  </si>
  <si>
    <t>242, 562, (Lead Me To the Cross, 748)</t>
  </si>
  <si>
    <t>175, [171:1,6], 365, (Jesus Comes Today with Healing, 318); Mon: 318</t>
  </si>
  <si>
    <t>JC 8:00 only, student quartet</t>
  </si>
  <si>
    <t>Pentecost 9C</t>
  </si>
  <si>
    <t xml:space="preserve">166, 720, (160, 317), Mon: close 317:1 </t>
  </si>
  <si>
    <t>Pentecost/Confirmation</t>
  </si>
  <si>
    <t>SS at 9:15, Moke</t>
  </si>
  <si>
    <t>2 baptisms</t>
  </si>
  <si>
    <t>Seven Churches: Laodicea</t>
  </si>
  <si>
    <t>New Morning Praise at end</t>
  </si>
  <si>
    <t>Isaiah 55:11b</t>
  </si>
  <si>
    <t>Can these bones live?</t>
  </si>
  <si>
    <t>Safe in Jesus' arms</t>
  </si>
  <si>
    <t>Let's turn up the heat</t>
  </si>
  <si>
    <t>436, 375, 451, 426:3-5</t>
  </si>
  <si>
    <t>Sonshine 10:30</t>
  </si>
  <si>
    <r>
      <t xml:space="preserve">176, [183] </t>
    </r>
    <r>
      <rPr>
        <sz val="10"/>
        <color rgb="FF0000FF"/>
        <rFont val="Arial"/>
      </rPr>
      <t>181</t>
    </r>
    <r>
      <rPr>
        <sz val="10"/>
        <color rgb="FF000000"/>
        <rFont val="Arial"/>
      </rPr>
      <t>, (10:30 service: 596, 599). 190</t>
    </r>
  </si>
  <si>
    <t>Joel and Erin Hahnke</t>
  </si>
  <si>
    <t>Kevin (Mon: Kurt)</t>
  </si>
  <si>
    <t>?</t>
  </si>
  <si>
    <t>51b</t>
  </si>
  <si>
    <t>474, 479, 176, 327</t>
  </si>
  <si>
    <t>Divine Service I using same Easter beginning</t>
  </si>
  <si>
    <t>Pentecost 10C</t>
  </si>
  <si>
    <t>Before and after</t>
  </si>
  <si>
    <t>Another shot at life</t>
  </si>
  <si>
    <t>193, 195, (192, 317); Mon: 192</t>
  </si>
  <si>
    <t>Kern, Norm</t>
  </si>
  <si>
    <t>Pentecost 2B</t>
  </si>
  <si>
    <t>143, 529, (310), Mon: 310:11-15</t>
  </si>
  <si>
    <t>JC and Chimes</t>
  </si>
  <si>
    <t>Just ask!</t>
  </si>
  <si>
    <t>x</t>
  </si>
  <si>
    <t>No class - Confirmation?</t>
  </si>
  <si>
    <t>Install church officers at 8:00</t>
  </si>
  <si>
    <t>Service of the Word with Confirmation Rite</t>
  </si>
  <si>
    <t>Love</t>
  </si>
  <si>
    <t>Matthew 28:20b</t>
  </si>
  <si>
    <t>Love never fails.</t>
  </si>
  <si>
    <t>Always be prepared</t>
  </si>
  <si>
    <t>409, 410*, (372, 580), Mon Close: 591</t>
  </si>
  <si>
    <t>Pentecost 11C</t>
  </si>
  <si>
    <t>Andrea O</t>
  </si>
  <si>
    <t>If God Is For Us</t>
  </si>
  <si>
    <t>226, 505, 498, 329 (TLH tune)</t>
  </si>
  <si>
    <t xml:space="preserve">508, 599, 184:1, (309, 597), 184:3 </t>
  </si>
  <si>
    <t>ALA (745, 915), AC (10:30)</t>
  </si>
  <si>
    <t>female trio</t>
  </si>
  <si>
    <t>ALA Sunday 7:45 and 9:15</t>
  </si>
  <si>
    <t>ALA</t>
  </si>
  <si>
    <t>April and Kerri Degner</t>
  </si>
  <si>
    <t>John 14:23</t>
  </si>
  <si>
    <t>Pentecost 3B</t>
  </si>
  <si>
    <t>Kurt (Mon: April)</t>
  </si>
  <si>
    <t>Things are different now</t>
  </si>
  <si>
    <t>Divine I</t>
  </si>
  <si>
    <t>Joy</t>
  </si>
  <si>
    <t>supplied by ALA</t>
  </si>
  <si>
    <t>477, 484, (743, 421), Mon Close: 421</t>
  </si>
  <si>
    <t>51a</t>
  </si>
  <si>
    <t>582, 765, 355, 419, 419 v.7</t>
  </si>
  <si>
    <t>Pentecost 12C</t>
  </si>
  <si>
    <t>Kurt (April: Mon)</t>
  </si>
  <si>
    <t>TBA</t>
  </si>
  <si>
    <t>Pentecost 4B</t>
  </si>
  <si>
    <t>Hebrews 11:1</t>
  </si>
  <si>
    <t>Peace</t>
  </si>
  <si>
    <t>God's poeple say, "Amen!"</t>
  </si>
  <si>
    <t>Easter 7</t>
  </si>
  <si>
    <t>221, 349, 402, 399</t>
  </si>
  <si>
    <t>Service of Word and Sacrament with alt beginning</t>
  </si>
  <si>
    <t>Ascension</t>
  </si>
  <si>
    <t>Pentecost 5B</t>
  </si>
  <si>
    <t>Pentecost 13C</t>
  </si>
  <si>
    <t>Kevin (Mon: April)</t>
  </si>
  <si>
    <t>Patience</t>
  </si>
  <si>
    <t>Cast Your Anxiety upon the Lord</t>
  </si>
  <si>
    <t>Hebrews 4:12</t>
  </si>
  <si>
    <t>Run for the Gold</t>
  </si>
  <si>
    <t>Pentecost 6B</t>
  </si>
  <si>
    <t>???</t>
  </si>
  <si>
    <t>Kindness</t>
  </si>
  <si>
    <t>Across the Lands, 351, (170, 173)</t>
  </si>
  <si>
    <t>139a</t>
  </si>
  <si>
    <t>429, 116, (214, 510)</t>
  </si>
  <si>
    <t>Crabtree</t>
  </si>
  <si>
    <t>490, 499,524,324</t>
  </si>
  <si>
    <t>Ruth Derge</t>
  </si>
  <si>
    <t>Pentecost 7B</t>
  </si>
  <si>
    <t>Goodness</t>
  </si>
  <si>
    <t>Pentecost 14C</t>
  </si>
  <si>
    <t>Brauer - Adult BIC</t>
  </si>
  <si>
    <t>(743,314) 459,458</t>
  </si>
  <si>
    <t>2 Timothy 1:10b</t>
  </si>
  <si>
    <t>Pentecost 8B</t>
  </si>
  <si>
    <t>adapated</t>
  </si>
  <si>
    <t>Faithfulness</t>
  </si>
  <si>
    <t>Wrestle your way through the narrow door</t>
  </si>
  <si>
    <t>239,176, 316,380</t>
  </si>
  <si>
    <t>Pentecost 9B</t>
  </si>
  <si>
    <t>Gentleness</t>
  </si>
  <si>
    <t>472, 213, 533, 219</t>
  </si>
  <si>
    <t>176, 183, Create in Me</t>
  </si>
  <si>
    <t>(740, 309) 492,332</t>
  </si>
  <si>
    <t>Pentecost 10B</t>
  </si>
  <si>
    <t>Erin (Mon: ????)</t>
  </si>
  <si>
    <t>Self-control</t>
  </si>
  <si>
    <t>Pentecost 15C</t>
  </si>
  <si>
    <t>Ephesians 4:1-7,11-16</t>
  </si>
  <si>
    <t>(473, 318) Fruitful Trees, the Spirit's Sowing, 475</t>
  </si>
  <si>
    <t>Isaiah 6:3b</t>
  </si>
  <si>
    <t>Pentecost 11B</t>
  </si>
  <si>
    <t>Erin (Mon: Jenna)</t>
  </si>
  <si>
    <t>The Lord be with you</t>
  </si>
  <si>
    <t>Jeremiah 15:16</t>
  </si>
  <si>
    <t>Christian humility has its lows and highs</t>
  </si>
  <si>
    <t>580, 439, 401, 331 v. 1</t>
  </si>
  <si>
    <t>278, 753, (anthem?, 317), 745</t>
  </si>
  <si>
    <t>Pentecost 2</t>
  </si>
  <si>
    <t>Pentecost 12B</t>
  </si>
  <si>
    <t>You shall have no other gods</t>
  </si>
  <si>
    <t>119a</t>
  </si>
  <si>
    <t>224, 524, (315, 476)</t>
  </si>
  <si>
    <t>402, 422, (338, 310)</t>
  </si>
  <si>
    <t>Pentecost 13B</t>
  </si>
  <si>
    <t>Pentecost 16C</t>
  </si>
  <si>
    <t>221, 285: 1-2,11-12, 382, 434:1</t>
  </si>
  <si>
    <t>279, 376, 446, 473</t>
  </si>
  <si>
    <t>Pentecost 3</t>
  </si>
  <si>
    <t>Philippians 4:4</t>
  </si>
  <si>
    <t>Pentecost 14B</t>
  </si>
  <si>
    <t>Be wise</t>
  </si>
  <si>
    <t xml:space="preserve">Service of Word and Sacrament  </t>
  </si>
  <si>
    <t>John 17:17</t>
  </si>
  <si>
    <t>145, 367, (312, 510)</t>
  </si>
  <si>
    <t>I will speak of you before kings</t>
  </si>
  <si>
    <t>Pentecost 15B</t>
  </si>
  <si>
    <t>119c</t>
  </si>
  <si>
    <t>Craig Kiecker</t>
  </si>
  <si>
    <t>202, 204 (203, 313), 293</t>
  </si>
  <si>
    <t>Pentecost 16B</t>
  </si>
  <si>
    <t>Pastors</t>
  </si>
  <si>
    <r>
      <rPr>
        <sz val="10"/>
        <color rgb="FF000000"/>
        <rFont val="Arial"/>
      </rPr>
      <t>184,</t>
    </r>
    <r>
      <rPr>
        <sz val="10"/>
        <color rgb="FF000000"/>
        <rFont val="Arial"/>
      </rPr>
      <t xml:space="preserve"> </t>
    </r>
    <r>
      <rPr>
        <sz val="10"/>
        <color rgb="FF000000"/>
        <rFont val="Arial"/>
      </rPr>
      <t>403</t>
    </r>
    <r>
      <rPr>
        <sz val="10"/>
        <color rgb="FF000000"/>
        <rFont val="Arial"/>
      </rPr>
      <t xml:space="preserve">, </t>
    </r>
    <r>
      <rPr>
        <sz val="10"/>
        <color rgb="FF000000"/>
        <rFont val="Arial"/>
      </rPr>
      <t>735</t>
    </r>
    <r>
      <rPr>
        <sz val="10"/>
        <color rgb="FF000000"/>
        <rFont val="Arial"/>
      </rPr>
      <t>, 320</t>
    </r>
    <r>
      <rPr>
        <sz val="10"/>
        <color rgb="FF000000"/>
        <rFont val="Arial"/>
      </rPr>
      <t xml:space="preserve"> </t>
    </r>
  </si>
  <si>
    <t>Pentecost 4</t>
  </si>
  <si>
    <t>Three-service schedule</t>
  </si>
  <si>
    <t>https://docs.google.com/document/d/1aiD_0XDFjzKs0VIbmQ9Wtq8c6ShCgG07xyUisTw2dvs/edit</t>
  </si>
  <si>
    <t>You shall not misuse the name of the Lord your God</t>
  </si>
  <si>
    <t>Choir</t>
  </si>
  <si>
    <t>230 (Sunday) 593 (Monday), 285:1,3,11-12, 380, 747</t>
  </si>
  <si>
    <t>Pentecost 5</t>
  </si>
  <si>
    <t>Pentecost 17C</t>
  </si>
  <si>
    <t>Kurt (Mon: Kevin)</t>
  </si>
  <si>
    <t>Luke 15:10</t>
  </si>
  <si>
    <t>Remember the rest</t>
  </si>
  <si>
    <t>Lost and found</t>
  </si>
  <si>
    <t>Pentecost 17B</t>
  </si>
  <si>
    <t>Romans 15:4</t>
  </si>
  <si>
    <t>O Day of Rest and Gladness, 285:1,4,11-12, (741, 735)</t>
  </si>
  <si>
    <t>Kiecker, Michaels</t>
  </si>
  <si>
    <t>Pentecost 6</t>
  </si>
  <si>
    <t>Erin (Ruth B Mon)</t>
  </si>
  <si>
    <r>
      <rPr>
        <sz val="10"/>
        <color rgb="FF000000"/>
        <rFont val="Arial"/>
      </rPr>
      <t>339</t>
    </r>
    <r>
      <rPr>
        <sz val="10"/>
        <color rgb="FF000000"/>
        <rFont val="Arial"/>
      </rPr>
      <t xml:space="preserve">, </t>
    </r>
    <r>
      <rPr>
        <sz val="10"/>
        <color rgb="FF000000"/>
        <rFont val="Arial"/>
      </rPr>
      <t>304*</t>
    </r>
    <r>
      <rPr>
        <sz val="10"/>
        <color rgb="FF000000"/>
        <rFont val="Arial"/>
      </rPr>
      <t>, (</t>
    </r>
    <r>
      <rPr>
        <sz val="10"/>
        <color rgb="FF000000"/>
        <rFont val="Arial"/>
      </rPr>
      <t>Anthem</t>
    </r>
    <r>
      <rPr>
        <sz val="10"/>
        <color rgb="FF000000"/>
        <rFont val="Arial"/>
      </rPr>
      <t xml:space="preserve">, </t>
    </r>
    <r>
      <rPr>
        <sz val="10"/>
        <color rgb="FF000000"/>
        <rFont val="Arial"/>
      </rPr>
      <t>385) Mon:</t>
    </r>
    <r>
      <rPr>
        <sz val="10"/>
        <color rgb="FF000000"/>
        <rFont val="Arial"/>
      </rPr>
      <t xml:space="preserve"> </t>
    </r>
    <r>
      <rPr>
        <sz val="10"/>
        <color rgb="FF000000"/>
        <rFont val="Arial"/>
      </rPr>
      <t>320</t>
    </r>
  </si>
  <si>
    <t>Trio</t>
  </si>
  <si>
    <t>NO Class - Teens go to adult study</t>
  </si>
  <si>
    <t>Buchholz - Adult BIC</t>
  </si>
  <si>
    <t>Pentecost 18C</t>
  </si>
  <si>
    <t>Pentecost 18B</t>
  </si>
  <si>
    <t>2 Corinthians 12:9a</t>
  </si>
  <si>
    <t>Honor your father and your mother</t>
  </si>
  <si>
    <t>Pray for everyone</t>
  </si>
  <si>
    <t>Pentecost 19B</t>
  </si>
  <si>
    <t>Philippians 2:10,11</t>
  </si>
  <si>
    <t>229, 285: 1,5,11,12, 500, 332</t>
  </si>
  <si>
    <t>Luke and JC guitar</t>
  </si>
  <si>
    <t>Pentecost 7</t>
  </si>
  <si>
    <t>Pentecost 20B</t>
  </si>
  <si>
    <t>Hebrews 2:12</t>
  </si>
  <si>
    <t>You shall not murder</t>
  </si>
  <si>
    <t>Come Xians.., 481, Lord, While..., 745</t>
  </si>
  <si>
    <t>Pentecost 19C</t>
  </si>
  <si>
    <t>139b</t>
  </si>
  <si>
    <t>Pentecost 21B</t>
  </si>
  <si>
    <t xml:space="preserve"> 234, 285:1,6,11,12, (311), Mon: 311:7,8</t>
  </si>
  <si>
    <t>female quartet</t>
  </si>
  <si>
    <t>Pentecost 8</t>
  </si>
  <si>
    <t>Erin (Kevin: Monday)</t>
  </si>
  <si>
    <t>Luke 16:31</t>
  </si>
  <si>
    <t>Common Service with communion</t>
  </si>
  <si>
    <t>Pentecost 22B</t>
  </si>
  <si>
    <t>It's time to listen</t>
  </si>
  <si>
    <t>ALA Sunday</t>
  </si>
  <si>
    <t>You shall not commit adultery</t>
  </si>
  <si>
    <t>Ephesians 2:10a</t>
  </si>
  <si>
    <t>Faith and Truth and Life Bestowing, 285:1,7,11,12, (306, 324); Mon: 324</t>
  </si>
  <si>
    <t>Luke tbone, Olivia clarinet</t>
  </si>
  <si>
    <t>Pentecost 9</t>
  </si>
  <si>
    <t>No hymns</t>
  </si>
  <si>
    <t>226*, 492, (God Whose Purpose, 317)</t>
  </si>
  <si>
    <t>Installation Service</t>
  </si>
  <si>
    <t>Pentecost 20C</t>
  </si>
  <si>
    <t>You shall not steal; You shall not covet</t>
  </si>
  <si>
    <t>see notes</t>
  </si>
  <si>
    <t>Psalm 103:20</t>
  </si>
  <si>
    <t>Power and protection beyond comprehension</t>
  </si>
  <si>
    <t>226,285:1,8,10-12, Lord You Call Us, 485, 610</t>
  </si>
  <si>
    <t>Kali, choir</t>
  </si>
  <si>
    <t>Pentecost 10</t>
  </si>
  <si>
    <t>Reformation</t>
  </si>
  <si>
    <t>You shall not give false testimony</t>
  </si>
  <si>
    <t>196*, 726, 216, 434:3</t>
  </si>
  <si>
    <t>Pentecost 21C</t>
  </si>
  <si>
    <t>Matthew 24:42</t>
  </si>
  <si>
    <t>224, 285:1,9,11,12 (372, 521), Mon: 587:3,4</t>
  </si>
  <si>
    <t>Isaiah 25:9b</t>
  </si>
  <si>
    <t>Pentecost 11</t>
  </si>
  <si>
    <t>Erin (Jenna Monday)</t>
  </si>
  <si>
    <t>Remember Jesus Christ</t>
  </si>
  <si>
    <t>Leave it in the Lord's hands</t>
  </si>
  <si>
    <t>Last Judgment</t>
  </si>
  <si>
    <r>
      <rPr>
        <sz val="10"/>
        <color rgb="FF000000"/>
        <rFont val="Arial"/>
      </rPr>
      <t>Rejoice O Pure in Heart, 520,</t>
    </r>
    <r>
      <rPr>
        <sz val="10"/>
        <color rgb="FF000000"/>
        <rFont val="Arial"/>
      </rPr>
      <t xml:space="preserve"> (</t>
    </r>
    <r>
      <rPr>
        <sz val="10"/>
        <color rgb="FF000000"/>
        <rFont val="Arial"/>
      </rPr>
      <t>309</t>
    </r>
    <r>
      <rPr>
        <sz val="10"/>
        <color rgb="FF000000"/>
        <rFont val="Arial"/>
      </rPr>
      <t xml:space="preserve">, </t>
    </r>
    <r>
      <rPr>
        <sz val="10"/>
        <color rgb="FF000000"/>
        <rFont val="Arial"/>
      </rPr>
      <t>538) Mon: 538: 1,3,5</t>
    </r>
  </si>
  <si>
    <t>Pentecost 22C</t>
  </si>
  <si>
    <t>Revelation 7:15a</t>
  </si>
  <si>
    <t>223, 253,482,332</t>
  </si>
  <si>
    <t>quartet</t>
  </si>
  <si>
    <t>Pentecost 12</t>
  </si>
  <si>
    <t>Friendship Sunday</t>
  </si>
  <si>
    <t>Common Service (2 new elements)</t>
  </si>
  <si>
    <t>Ravaged by sin, saved by Christ</t>
  </si>
  <si>
    <t>What a Friend!</t>
  </si>
  <si>
    <t>Saints Triumphant</t>
  </si>
  <si>
    <t>405, 384, (431.415), Mon: 332</t>
  </si>
  <si>
    <t>Revelation 22:13</t>
  </si>
  <si>
    <t>guitars, Bode, ???</t>
  </si>
  <si>
    <t>Pentecost 13</t>
  </si>
  <si>
    <t>No class - Labor Day</t>
  </si>
  <si>
    <t>Since Jesus Is My Friend*, 380, 411</t>
  </si>
  <si>
    <t>New Morning Praise / Evening Prayer</t>
  </si>
  <si>
    <t>Lord, give us a strong faith</t>
  </si>
  <si>
    <t>Pentecost 23C</t>
  </si>
  <si>
    <t xml:space="preserve">Kurt </t>
  </si>
  <si>
    <t>Thanksgiving</t>
  </si>
  <si>
    <r>
      <t xml:space="preserve">221, </t>
    </r>
    <r>
      <rPr>
        <sz val="10"/>
        <color rgb="FF000000"/>
        <rFont val="Arial"/>
      </rPr>
      <t>405, 402, 329</t>
    </r>
  </si>
  <si>
    <t>Pentecost 14</t>
  </si>
  <si>
    <t>Brauer - Luther and Worship</t>
  </si>
  <si>
    <t>Why?</t>
  </si>
  <si>
    <t>119b</t>
  </si>
  <si>
    <r>
      <t>752*</t>
    </r>
    <r>
      <rPr>
        <sz val="10"/>
        <color rgb="FF000000"/>
        <rFont val="Arial"/>
      </rPr>
      <t>, 236, (317,318), Mon: 318</t>
    </r>
  </si>
  <si>
    <t>240, 538, (742, 429), Mon: 429: 1-3</t>
  </si>
  <si>
    <t>Gr. 6-8, chimes</t>
  </si>
  <si>
    <t>Pentecost 15</t>
  </si>
  <si>
    <t>Reformation Sunday</t>
  </si>
  <si>
    <t>I am with you</t>
  </si>
  <si>
    <t>John 8:31,32</t>
  </si>
  <si>
    <r>
      <rPr>
        <sz val="10"/>
        <color rgb="FF000000"/>
        <rFont val="Arial"/>
      </rPr>
      <t xml:space="preserve">465:1-3, </t>
    </r>
    <r>
      <rPr>
        <sz val="10"/>
        <color rgb="FF000000"/>
        <rFont val="Arial"/>
      </rPr>
      <t>761</t>
    </r>
    <r>
      <rPr>
        <sz val="10"/>
        <color rgb="FF000000"/>
        <rFont val="Arial"/>
      </rPr>
      <t>, 428, 465:4</t>
    </r>
  </si>
  <si>
    <t>Pentecost 16</t>
  </si>
  <si>
    <t>Christ the King</t>
  </si>
  <si>
    <t>Luther's Deutsche Messe</t>
  </si>
  <si>
    <t>Revelation 22:20</t>
  </si>
  <si>
    <t>Go gain your brother</t>
  </si>
  <si>
    <t>Ezekiel 33:7-11</t>
  </si>
  <si>
    <t>Daniel 7:13,14</t>
  </si>
  <si>
    <r>
      <rPr>
        <sz val="10"/>
        <color rgb="FF000000"/>
        <rFont val="Arial"/>
      </rPr>
      <t>282, 190, (</t>
    </r>
    <r>
      <rPr>
        <sz val="10"/>
        <color rgb="FF000000"/>
        <rFont val="Arial"/>
      </rPr>
      <t>268</t>
    </r>
    <r>
      <rPr>
        <sz val="10"/>
        <color rgb="FF000000"/>
        <rFont val="Arial"/>
      </rPr>
      <t>, 317)</t>
    </r>
  </si>
  <si>
    <t>Pentecost 17</t>
  </si>
  <si>
    <t>Erin (Mon Kevin)</t>
  </si>
  <si>
    <t>Brauer - Nehemiah</t>
  </si>
  <si>
    <t>Service of the Word with Gathering Rite on Word</t>
  </si>
  <si>
    <t>Forgive us our sins</t>
  </si>
  <si>
    <r>
      <t xml:space="preserve">200, </t>
    </r>
    <r>
      <rPr>
        <sz val="10"/>
        <color rgb="FF000000"/>
        <rFont val="Arial"/>
      </rPr>
      <t>377:1-5 (390), 203</t>
    </r>
  </si>
  <si>
    <t>Cantor</t>
  </si>
  <si>
    <t>Bode/Buchholz</t>
  </si>
  <si>
    <t>Gathering Rite hymn, O My Soul, 234:1-3, 234: 4,5</t>
  </si>
  <si>
    <t xml:space="preserve">JC, </t>
  </si>
  <si>
    <t>Area Reformation Service</t>
  </si>
  <si>
    <t>Hein/Van Kampen</t>
  </si>
  <si>
    <t>Pentecost 18</t>
  </si>
  <si>
    <t>Buchholz/Jacobson</t>
  </si>
  <si>
    <t>Wade/</t>
  </si>
  <si>
    <t>Kevin (Mon Elizabeth Dankert)</t>
  </si>
  <si>
    <t>Special festival service</t>
  </si>
  <si>
    <t>Advent 1C</t>
  </si>
  <si>
    <t>Be a confident Christian</t>
  </si>
  <si>
    <r>
      <rPr>
        <sz val="10"/>
        <color rgb="FF000000"/>
        <rFont val="Arial"/>
      </rPr>
      <t>Rejoice, the Lord is King!</t>
    </r>
    <r>
      <rPr>
        <sz val="10"/>
        <color rgb="FF000000"/>
        <rFont val="Arial"/>
      </rPr>
      <t xml:space="preserve">, </t>
    </r>
    <r>
      <rPr>
        <sz val="10"/>
        <color rgb="FF000000"/>
        <rFont val="Arial"/>
      </rPr>
      <t>606, (390,318), Mon: 318</t>
    </r>
  </si>
  <si>
    <t>some singers</t>
  </si>
  <si>
    <t>Pentecost 19</t>
  </si>
  <si>
    <t>Kevin (Kurt)</t>
  </si>
  <si>
    <t>Luke 3:4,6</t>
  </si>
  <si>
    <t>AC in afternoon</t>
  </si>
  <si>
    <t>Across the Lands, 491, 497, 745</t>
  </si>
  <si>
    <t>Sonshine Choir: Anthem: Make Me a Servant, Verse of the Day, Psalm 25 in small group</t>
  </si>
  <si>
    <t>Pentecost 20</t>
  </si>
  <si>
    <t>Pancake breakfast</t>
  </si>
  <si>
    <t xml:space="preserve">Common Service </t>
  </si>
  <si>
    <t>Ready for reckoning</t>
  </si>
  <si>
    <t>We press on</t>
  </si>
  <si>
    <t>Midweek Advent 1</t>
  </si>
  <si>
    <t>451, 208, 382, 745</t>
  </si>
  <si>
    <t>765, 431v.1,2,5,6,(315,318)</t>
  </si>
  <si>
    <t>Chimes and grades 6-8</t>
  </si>
  <si>
    <t>Pentecost 21</t>
  </si>
  <si>
    <t>Isaiah 55:1-7</t>
  </si>
  <si>
    <t>Romans 2:1-11</t>
  </si>
  <si>
    <t>Stand Firm</t>
  </si>
  <si>
    <t>Advent 2C</t>
  </si>
  <si>
    <t>Matthew 11:10</t>
  </si>
  <si>
    <t>Luke 3:7-18</t>
  </si>
  <si>
    <r>
      <rPr>
        <sz val="10"/>
        <color rgb="FF000000"/>
        <rFont val="Arial"/>
      </rPr>
      <t>214, 550, (I Will Rise/213)</t>
    </r>
    <r>
      <rPr>
        <sz val="10"/>
        <color rgb="FF000000"/>
        <rFont val="Arial"/>
      </rPr>
      <t>, 551:7-8</t>
    </r>
  </si>
  <si>
    <t>439, 443, (743,316); Mon: In Peace and Joy</t>
  </si>
  <si>
    <t>Jenna Henderson</t>
  </si>
  <si>
    <t>Midweek Advent 2</t>
  </si>
  <si>
    <t>A snapshot of the Savior</t>
  </si>
  <si>
    <t>The only thing that counts</t>
  </si>
  <si>
    <t>Advent 3C</t>
  </si>
  <si>
    <t>Matthew 1:23</t>
  </si>
  <si>
    <t xml:space="preserve">384, 200, 752 (offering), 203, 537 </t>
  </si>
  <si>
    <t>341*, 239, 363, 219*</t>
  </si>
  <si>
    <t>Your Judge is the Son of Man</t>
  </si>
  <si>
    <t>Special service</t>
  </si>
  <si>
    <t>208, 731, (306, 728:1-2), 728:3</t>
  </si>
  <si>
    <t>Midweek Advent 3</t>
  </si>
  <si>
    <t>Thanksgiving's secret sauce</t>
  </si>
  <si>
    <t>Be wise and watch</t>
  </si>
  <si>
    <t>236, 612, 528, 613, 340:1,5,6</t>
  </si>
  <si>
    <t>Advent 4C</t>
  </si>
  <si>
    <t>551:1-6, 206, ??, 729</t>
  </si>
  <si>
    <t xml:space="preserve">AC </t>
  </si>
  <si>
    <t>Anniversary celebration</t>
  </si>
  <si>
    <t>Kirby Spevacek</t>
  </si>
  <si>
    <t>K-8</t>
  </si>
  <si>
    <t>Christmas Eve Lessons and Carols</t>
  </si>
  <si>
    <t>(No sermon)</t>
  </si>
  <si>
    <t>Advent 1A</t>
  </si>
  <si>
    <t>Christmas Eve Candlelight</t>
  </si>
  <si>
    <t>Gathering Rite/Service of Word and Sacrament</t>
  </si>
  <si>
    <t>Luke 2:11</t>
  </si>
  <si>
    <t>Walk in the light</t>
  </si>
  <si>
    <t>I am satisfied</t>
  </si>
  <si>
    <t>Isaiah 9:2-7</t>
  </si>
  <si>
    <t>Titus 2:11-14</t>
  </si>
  <si>
    <t>Deuteronomy 8:10-18</t>
  </si>
  <si>
    <t>Luke 2:1-20</t>
  </si>
  <si>
    <t>Philippians 4:10-20</t>
  </si>
  <si>
    <t>Luke 17:11-19</t>
  </si>
  <si>
    <t xml:space="preserve">Christmas Day </t>
  </si>
  <si>
    <t>Galatians 4:4,5a</t>
  </si>
  <si>
    <t xml:space="preserve">Gathering Rite, 19, (472, 7*)                       </t>
  </si>
  <si>
    <t>cantor</t>
  </si>
  <si>
    <t>Same</t>
  </si>
  <si>
    <t>Isaiah 52:7-10</t>
  </si>
  <si>
    <t>Hebrews 1:1-9</t>
  </si>
  <si>
    <t>John 1:1-14</t>
  </si>
  <si>
    <t>Evening Prayer</t>
  </si>
  <si>
    <t>There's no place like home!</t>
  </si>
  <si>
    <t>Christmas 1C</t>
  </si>
  <si>
    <t>15, 34, 29, 212</t>
  </si>
  <si>
    <t>Advent 2A</t>
  </si>
  <si>
    <t>Colossians 3:15a</t>
  </si>
  <si>
    <t>Gathering Rite/Common Service</t>
  </si>
  <si>
    <t>New Year's Eve</t>
  </si>
  <si>
    <t>Psalm 119:105</t>
  </si>
  <si>
    <t>Gathernig rite, 702*, 47*, 6</t>
  </si>
  <si>
    <t>Totals:</t>
  </si>
  <si>
    <t>Christmas is for kids</t>
  </si>
  <si>
    <t>727, 216 (217,370) Mon: 370v1,3,4</t>
  </si>
  <si>
    <t>Advent 1</t>
  </si>
  <si>
    <t>Brauer - Philippians</t>
  </si>
  <si>
    <t>Gran- Songs of the Season</t>
  </si>
  <si>
    <t>26, 46, 449, 2</t>
  </si>
  <si>
    <t>Advent 3A</t>
  </si>
  <si>
    <t>What did you expect?</t>
  </si>
  <si>
    <t>Lo He Comes, 2, 15, 3:1,5</t>
  </si>
  <si>
    <t>Guest</t>
  </si>
  <si>
    <t>Gathering rite, 702, (16, 11, 326)</t>
  </si>
  <si>
    <t>see outline</t>
  </si>
  <si>
    <t>He has redeemed his people</t>
  </si>
  <si>
    <t>I'm dreaming of a white Christmas</t>
  </si>
  <si>
    <t>18, 705*, 549, 219</t>
  </si>
  <si>
    <t>Advent 4A</t>
  </si>
  <si>
    <t>Kurt (Ruth: Mon)</t>
  </si>
  <si>
    <t>42, 4:1-3, 4:4-5</t>
  </si>
  <si>
    <t>JC 3:30</t>
  </si>
  <si>
    <t>Gathering Rite/Service of the Word</t>
  </si>
  <si>
    <t>Advent 2</t>
  </si>
  <si>
    <t xml:space="preserve">Buchholz </t>
  </si>
  <si>
    <t>What shall we call him?</t>
  </si>
  <si>
    <t>Gathering Rite, 28, 8, 23</t>
  </si>
  <si>
    <t>Hahnke + ?</t>
  </si>
  <si>
    <t>Isaiah 40:1-11</t>
  </si>
  <si>
    <t>Sunday, December 18, 2016</t>
  </si>
  <si>
    <t>Children's Service</t>
  </si>
  <si>
    <t>No sermon</t>
  </si>
  <si>
    <t>in-house</t>
  </si>
  <si>
    <t>Special service produced by school</t>
  </si>
  <si>
    <t>702, 16, (14, 27)</t>
  </si>
  <si>
    <t>School</t>
  </si>
  <si>
    <t>Sam Kiecker 12.14 - 1.2</t>
  </si>
  <si>
    <t>Christmas Eve L&amp;C</t>
  </si>
  <si>
    <t xml:space="preserve">Special service  </t>
  </si>
  <si>
    <t>Sara (3:30), Kevin (8:00)</t>
  </si>
  <si>
    <t>It's all about love</t>
  </si>
  <si>
    <t>21, 24, 6</t>
  </si>
  <si>
    <t>Sarah, CC, Megan</t>
  </si>
  <si>
    <t>65, 67, 60, 63</t>
  </si>
  <si>
    <t>Advent 3</t>
  </si>
  <si>
    <t>No Class</t>
  </si>
  <si>
    <t>55, [62], 61, (40, 38), 57</t>
  </si>
  <si>
    <t>Buchholz / Bode</t>
  </si>
  <si>
    <t>Out with the old, in with the new</t>
  </si>
  <si>
    <t>69:1-3 [69:3,4] 468 (743, 304) 75</t>
  </si>
  <si>
    <t>704, 11, 18:1-3, 18:4-5</t>
  </si>
  <si>
    <t>N Crabtree</t>
  </si>
  <si>
    <t>Dist</t>
  </si>
  <si>
    <t>Advent 4</t>
  </si>
  <si>
    <t>No morning services</t>
  </si>
  <si>
    <t>NONE</t>
  </si>
  <si>
    <t>CWOS Festival of Lessons and Carols</t>
  </si>
  <si>
    <t>No sermon - Lessons/Carols</t>
  </si>
  <si>
    <t>50, 54, 37, 57, 61, 35</t>
  </si>
  <si>
    <t>Lessons and Carols Choir</t>
  </si>
  <si>
    <t>Holden Evening Prayer</t>
  </si>
  <si>
    <t>58, Eve hymn, 52, 61, 60</t>
  </si>
  <si>
    <t>Brauer, Bode</t>
  </si>
  <si>
    <t>Christmas Day</t>
  </si>
  <si>
    <t>55, 62, 57 (59, 67, 45) 64</t>
  </si>
  <si>
    <t>children's choir</t>
  </si>
  <si>
    <t>80, 41, (707, 67), Song of Simeon</t>
  </si>
  <si>
    <t>male quartet, guitars</t>
  </si>
  <si>
    <t>Service time 7:00 p.m.</t>
  </si>
  <si>
    <t>Time keeps on ticking</t>
  </si>
  <si>
    <t>10, 75 (70, 310) 593</t>
  </si>
  <si>
    <t>Brauer preaches:</t>
  </si>
  <si>
    <t>Buchholz preaches:</t>
  </si>
  <si>
    <t>Gran preaches:</t>
  </si>
  <si>
    <t>Pautz preaches:</t>
  </si>
  <si>
    <t>Guest preaches:</t>
  </si>
  <si>
    <t>Hymns (*Refer to Notes)</t>
  </si>
  <si>
    <t>CW Morning Praise / Evening Prayer</t>
  </si>
  <si>
    <t>John 7:40-43</t>
  </si>
  <si>
    <t>Understand Jesus</t>
  </si>
  <si>
    <t>Micah 5:2-5</t>
  </si>
  <si>
    <t>Heb 2:10-18</t>
  </si>
  <si>
    <t>35*, 343, 707, 41</t>
  </si>
  <si>
    <t>*</t>
  </si>
  <si>
    <t>Acts 16:25-34</t>
  </si>
  <si>
    <t>Expect the unexpected</t>
  </si>
  <si>
    <t>Isaiah 49:1-6</t>
  </si>
  <si>
    <t>Mark 1:4-11</t>
  </si>
  <si>
    <t>709, 89 (309, 90)</t>
  </si>
  <si>
    <t>Erin (Sun), Erica (Mon)</t>
  </si>
  <si>
    <t>1 Samuel 3:1-10</t>
  </si>
  <si>
    <t>Lord, I'm listening!</t>
  </si>
  <si>
    <t>2 Thessalonians 2:13-17</t>
  </si>
  <si>
    <t>John 1:43-51</t>
  </si>
  <si>
    <t>283, 43, 87, 469</t>
  </si>
  <si>
    <t>Bode ALA Sunday</t>
  </si>
  <si>
    <t>Sara (Mon)</t>
  </si>
  <si>
    <t>ALA provides everything for Sunday; need a bulletin just for Monday then</t>
  </si>
  <si>
    <t>Mark 1:14-20</t>
  </si>
  <si>
    <t>Jonah 3:1-5:10</t>
  </si>
  <si>
    <t>Acts 13:1-5</t>
  </si>
  <si>
    <t>453, 570</t>
  </si>
  <si>
    <t>Henderson</t>
  </si>
  <si>
    <t>CWNSS Morning Praise / Evening Prayer*</t>
  </si>
  <si>
    <t>Words are powerful</t>
  </si>
  <si>
    <t>Dt 18:15-20</t>
  </si>
  <si>
    <t>1 Corinth 8:1-13</t>
  </si>
  <si>
    <t>63*</t>
  </si>
  <si>
    <t xml:space="preserve">735*, 431*, 353*, 333* </t>
  </si>
  <si>
    <t>Kogler</t>
  </si>
  <si>
    <t>CW Common Service*</t>
  </si>
  <si>
    <t>John 15:9-17</t>
  </si>
  <si>
    <t>What a friend we have in Jesus</t>
  </si>
  <si>
    <t>Job 7:1-7</t>
  </si>
  <si>
    <t>1 Corinth 9:16-23</t>
  </si>
  <si>
    <t>Mark 1:29-39</t>
  </si>
  <si>
    <t>146*</t>
  </si>
  <si>
    <t>238, 411, (372, 93)</t>
  </si>
  <si>
    <t>Mark 9:2-9</t>
  </si>
  <si>
    <t>It is good for us to be here</t>
  </si>
  <si>
    <t>2 Kings 2:1-12a</t>
  </si>
  <si>
    <t>2 Corin 3:12-4:2</t>
  </si>
  <si>
    <t>Christ Begins*, "Lift Your Eyes and See the Glory"*, 95</t>
  </si>
  <si>
    <t>John 8:31-36</t>
  </si>
  <si>
    <t>Anyone who sins is a slave to sin</t>
  </si>
  <si>
    <t>Isaiah 59:12-20</t>
  </si>
  <si>
    <t>2 Corinth 5:20b-6:2</t>
  </si>
  <si>
    <t>see service notees</t>
  </si>
  <si>
    <t>Genesis 22:1-18</t>
  </si>
  <si>
    <t>God tests our faith</t>
  </si>
  <si>
    <t>Romans 8:31-39</t>
  </si>
  <si>
    <t>Mark 1:12-15</t>
  </si>
  <si>
    <t>455, 419* (714*, 371)</t>
  </si>
  <si>
    <t>CW Service of Light (CW p. 54), spoken responses</t>
  </si>
  <si>
    <t>Matthew 21:18-22</t>
  </si>
  <si>
    <t>Faith Can Move Mountains</t>
  </si>
  <si>
    <t>Passion History II</t>
  </si>
  <si>
    <t>108, 402, 593</t>
  </si>
  <si>
    <t>Charles Bonow</t>
  </si>
  <si>
    <t>Bonow</t>
  </si>
  <si>
    <t>Choral Music</t>
  </si>
  <si>
    <t xml:space="preserve">Epiphany </t>
  </si>
  <si>
    <t>Ewart</t>
  </si>
  <si>
    <t>Bauer</t>
  </si>
  <si>
    <t>Emily Gran</t>
  </si>
  <si>
    <t>Bonow is bringing everything</t>
  </si>
  <si>
    <t>Charles Bonow will provide</t>
  </si>
  <si>
    <t>Romans 5:1-11</t>
  </si>
  <si>
    <t>Genesis 28:10-17</t>
  </si>
  <si>
    <t>Mark 8:31-38</t>
  </si>
  <si>
    <t>all from Bonow</t>
  </si>
  <si>
    <t>Dr. Meyer</t>
  </si>
  <si>
    <t>Open Forum</t>
  </si>
  <si>
    <t>Mark 14:1-9</t>
  </si>
  <si>
    <t>Fruits of Faith Will Be Remembered</t>
  </si>
  <si>
    <t>Passion History III</t>
  </si>
  <si>
    <t>125, 105, 592</t>
  </si>
  <si>
    <t>CHIMES: When I Survey the Wondrouse Cross</t>
  </si>
  <si>
    <t>John 2:13-22</t>
  </si>
  <si>
    <t>Serious business</t>
  </si>
  <si>
    <t>Exodus 20-1-17</t>
  </si>
  <si>
    <t>1 Corinth 1:22-25</t>
  </si>
  <si>
    <t>281, 122 (401, 462)</t>
  </si>
  <si>
    <t>Robert Fleischman - CLR</t>
  </si>
  <si>
    <t>D. Rosenbaum</t>
  </si>
  <si>
    <t>Mark 14:12-21</t>
  </si>
  <si>
    <t>One of you will betray me</t>
  </si>
  <si>
    <t>Passion History IV</t>
  </si>
  <si>
    <t>CWS 14</t>
  </si>
  <si>
    <t>114:1-3, 114:4-7, 590</t>
  </si>
  <si>
    <t>Kevin (Sara Mon)</t>
  </si>
  <si>
    <t>Numbers 21:4-9</t>
  </si>
  <si>
    <t>Look and Live</t>
  </si>
  <si>
    <t>Ephesians 2:4-10</t>
  </si>
  <si>
    <t>John 3:14-21</t>
  </si>
  <si>
    <t>no psalm</t>
  </si>
  <si>
    <t>402, 384* (391, 317)</t>
  </si>
  <si>
    <t>CW Service of Light (CW p. 54), sung responses</t>
  </si>
  <si>
    <t>Mark 14:27-31</t>
  </si>
  <si>
    <t>Passion History V</t>
  </si>
  <si>
    <t>103, 116, 587</t>
  </si>
  <si>
    <t>K-4: A Purple Robe</t>
  </si>
  <si>
    <t>Easter 5/Confirmation</t>
  </si>
  <si>
    <t>Rotation</t>
  </si>
  <si>
    <t>Hebrews 5:7-9</t>
  </si>
  <si>
    <t>Go to dark Gethsemane</t>
  </si>
  <si>
    <t>Jeremiah 31:31-34</t>
  </si>
  <si>
    <t>John 12:20-33</t>
  </si>
  <si>
    <t>143*</t>
  </si>
  <si>
    <t>236, 104 (387, 100)</t>
  </si>
  <si>
    <t>9:00 Sunday School: The Lamb (selected verses)</t>
  </si>
  <si>
    <t>Preacher presides</t>
  </si>
  <si>
    <t>nothing; except pastor sings all "M" parts tonight</t>
  </si>
  <si>
    <t>John 12:23-27</t>
  </si>
  <si>
    <t>If one dies it produces life for many</t>
  </si>
  <si>
    <t>Passion History VI</t>
  </si>
  <si>
    <t>CWS 3</t>
  </si>
  <si>
    <t>129, 127, 588:1,2,5-7</t>
  </si>
  <si>
    <t>Pentecost 9A</t>
  </si>
  <si>
    <t>Matthew 13:24-30, 36-43</t>
  </si>
  <si>
    <t>Just wait!</t>
  </si>
  <si>
    <t>Joel 3:12-16</t>
  </si>
  <si>
    <t>Pentecost 10A</t>
  </si>
  <si>
    <t>Pentecost 11A</t>
  </si>
  <si>
    <t>No Class - Stewardship event</t>
  </si>
  <si>
    <t>Mark 11:1-10</t>
  </si>
  <si>
    <t>Hosanna to the coming King!</t>
  </si>
  <si>
    <t>Zechariah 9:9,10</t>
  </si>
  <si>
    <t>Phillipians 2:5-11</t>
  </si>
  <si>
    <t>131, 130 (CWS716, 133)</t>
  </si>
  <si>
    <t>10:30 - Pre-8th</t>
  </si>
  <si>
    <t>CWS Divine Service 1</t>
  </si>
  <si>
    <t>Pentecost 12A</t>
  </si>
  <si>
    <t>No Class - Labor Day</t>
  </si>
  <si>
    <t>Matthew 14:22-33</t>
  </si>
  <si>
    <t>Exodus 14:10-31</t>
  </si>
  <si>
    <t>James 1:2-8,12</t>
  </si>
  <si>
    <t>Psalm 73</t>
  </si>
  <si>
    <t>1 Corinthians 10:16,17</t>
  </si>
  <si>
    <t>It's called communion</t>
  </si>
  <si>
    <t>1 Corinth 10:16,17`</t>
  </si>
  <si>
    <t>Mark 14:12-26</t>
  </si>
  <si>
    <t>136, 749 (135, 743) 588*</t>
  </si>
  <si>
    <t>Pentecost 13A</t>
  </si>
  <si>
    <t>Joe B</t>
  </si>
  <si>
    <t>Gran - 1 Peter</t>
  </si>
  <si>
    <t>Joshua 2:8-21</t>
  </si>
  <si>
    <t>Romans 11:13-15, 28-32</t>
  </si>
  <si>
    <t>Matthew 15:21-28</t>
  </si>
  <si>
    <t>CWOS Cross of Christ / CWS Divine Service I</t>
  </si>
  <si>
    <t>Psalm 142</t>
  </si>
  <si>
    <t>Paradise awaits</t>
  </si>
  <si>
    <t>Pentecost 14A</t>
  </si>
  <si>
    <t>Matthew 16:13-20</t>
  </si>
  <si>
    <t>Built on the Rock</t>
  </si>
  <si>
    <t>Joshua 4:1-9</t>
  </si>
  <si>
    <t xml:space="preserve">Revelation 7:1-8 </t>
  </si>
  <si>
    <t>Psalm 34</t>
  </si>
  <si>
    <t>Afternoon: 125, 748 (99, 139)* 219  Tenebrae: 113, 105:1,2,4,7,</t>
  </si>
  <si>
    <t>Penteocst 15A</t>
  </si>
  <si>
    <t>A. Degner</t>
  </si>
  <si>
    <t>Galatians 6:12-16</t>
  </si>
  <si>
    <t>The path of most resistance</t>
  </si>
  <si>
    <t>Judges 16:22-31</t>
  </si>
  <si>
    <t>Matthew 16:21-26</t>
  </si>
  <si>
    <t>Psalm 121</t>
  </si>
  <si>
    <t>Pentecost 16A</t>
  </si>
  <si>
    <t>Emily Gran - H5 OT</t>
  </si>
  <si>
    <t>S.O.S.</t>
  </si>
  <si>
    <t>Galatians 2:11-21</t>
  </si>
  <si>
    <t>Matthew 18:15-20</t>
  </si>
  <si>
    <t>Psalm 51a</t>
  </si>
  <si>
    <t>Pentecost 17A</t>
  </si>
  <si>
    <t>Guest - Brett Brauer</t>
  </si>
  <si>
    <t>Special service / Installation</t>
  </si>
  <si>
    <t>Continue in the Scripture</t>
  </si>
  <si>
    <t>Pentecost 18A</t>
  </si>
  <si>
    <t>Buchholz - 2 Peter</t>
  </si>
  <si>
    <t>John 20:1-18</t>
  </si>
  <si>
    <t>Matthew 20:1-16</t>
  </si>
  <si>
    <t>What are you looking for?</t>
  </si>
  <si>
    <t>There is joy in the ministry</t>
  </si>
  <si>
    <t>1 Corinth 15:51-57</t>
  </si>
  <si>
    <t>Jonah 4:5-11</t>
  </si>
  <si>
    <t>John 20-1-18</t>
  </si>
  <si>
    <t>Romans 9:6b-16</t>
  </si>
  <si>
    <t>See What a Morning, 152, 141:1,3,4, 162</t>
  </si>
  <si>
    <t>Individuals</t>
  </si>
  <si>
    <t>Psalm 27</t>
  </si>
  <si>
    <t>Pentecost 19A</t>
  </si>
  <si>
    <t>Examine yourself</t>
  </si>
  <si>
    <t>Fall Series</t>
  </si>
  <si>
    <t>Objects of God's ______________</t>
  </si>
  <si>
    <t>CW Service of Word and Sacrament</t>
  </si>
  <si>
    <t>Matthew 10:16-23</t>
  </si>
  <si>
    <t>Stand firm and be saved</t>
  </si>
  <si>
    <t>Daniel 6:10-12,16-23</t>
  </si>
  <si>
    <t>2 Timothy 4:9-18</t>
  </si>
  <si>
    <t>Psalm 46</t>
  </si>
  <si>
    <t>Tommy S - Decision Making</t>
  </si>
  <si>
    <t>Brauer - Creeds</t>
  </si>
  <si>
    <t>1 Corinthians 15:19-26</t>
  </si>
  <si>
    <t>Wave your sheaf and celebrate the resurrection!</t>
  </si>
  <si>
    <t>Isaiah 25:6-9</t>
  </si>
  <si>
    <t>1 Corinth 15:19-26</t>
  </si>
  <si>
    <t>Mark 16:1-8</t>
  </si>
  <si>
    <t>157, 265, 720, 752, 145:1-3</t>
  </si>
  <si>
    <t>Matthew 25:31-46</t>
  </si>
  <si>
    <t>Daniel 7:9,10</t>
  </si>
  <si>
    <t>Romans 2:2-11</t>
  </si>
  <si>
    <t>Psalm 90</t>
  </si>
  <si>
    <t>Revelation 19:1-9</t>
  </si>
  <si>
    <t>The biggest, best party you've ever seen!</t>
  </si>
  <si>
    <t>Isaiah 52:1-6</t>
  </si>
  <si>
    <t>Matthew 25:1-13</t>
  </si>
  <si>
    <t>Psalm 84</t>
  </si>
  <si>
    <t>1 John 5:1-6</t>
  </si>
  <si>
    <t>God's love language</t>
  </si>
  <si>
    <t>Acts 3:12-20</t>
  </si>
  <si>
    <t>Luke 23:35-43</t>
  </si>
  <si>
    <t>This is the King</t>
  </si>
  <si>
    <t>John 20:19-31</t>
  </si>
  <si>
    <t>Ezekiel 34:11-16,23,24</t>
  </si>
  <si>
    <t>720*, 165*, (142, 160)</t>
  </si>
  <si>
    <t>1 Corinthians 15:20-28</t>
  </si>
  <si>
    <t>7:45 - gr. 5-8</t>
  </si>
  <si>
    <t>Matthew 27:27-31</t>
  </si>
  <si>
    <t>Psalm 47</t>
  </si>
  <si>
    <t>Psalm 136:1-4</t>
  </si>
  <si>
    <t>Thank God for his mercy</t>
  </si>
  <si>
    <t>Psalm 100</t>
  </si>
  <si>
    <t>Acts 4:8-12</t>
  </si>
  <si>
    <t>His name means salvation</t>
  </si>
  <si>
    <t>1 John 1:1-2:2</t>
  </si>
  <si>
    <t>Luke 24:36-49</t>
  </si>
  <si>
    <t>720*, 358:1-4, 153, 358:5-7</t>
  </si>
  <si>
    <t>Gran - Decision Making</t>
  </si>
  <si>
    <t>CWS Divine Service 2</t>
  </si>
  <si>
    <t>Mark 13:32-37</t>
  </si>
  <si>
    <t>John 10:11-18</t>
  </si>
  <si>
    <t>He leads me with a shepherd's care</t>
  </si>
  <si>
    <t>Genesis 6:1-3,5-14,17-22</t>
  </si>
  <si>
    <t>1 Peter 3:18-22</t>
  </si>
  <si>
    <t>Acts 4:23-33</t>
  </si>
  <si>
    <t>1 John 3:1,2</t>
  </si>
  <si>
    <t>Psalm 24</t>
  </si>
  <si>
    <t>19, 472 (306, 310)</t>
  </si>
  <si>
    <t>449, 375, (766, 750:1,4,6)</t>
  </si>
  <si>
    <t xml:space="preserve">Pre-K </t>
  </si>
  <si>
    <t>Matthew 11:25-30</t>
  </si>
  <si>
    <t>Advent Antidotes: The remedy for stress</t>
  </si>
  <si>
    <t>1 Kings 8:54-61</t>
  </si>
  <si>
    <t>Hebrews 4:1-10</t>
  </si>
  <si>
    <t>Luke 2:25-35</t>
  </si>
  <si>
    <t>Psalm 25</t>
  </si>
  <si>
    <t>28, 703, 47, 587</t>
  </si>
  <si>
    <t>Gran - Decision making</t>
  </si>
  <si>
    <t>1 John 3:18-24</t>
  </si>
  <si>
    <t xml:space="preserve">How do I know? </t>
  </si>
  <si>
    <t>Acts 8:26-40</t>
  </si>
  <si>
    <t>John 15:1-8</t>
  </si>
  <si>
    <t>363, 498, 406:1-3, 406:4-5</t>
  </si>
  <si>
    <t>2 Peter 3:8-14</t>
  </si>
  <si>
    <t>Looking forward</t>
  </si>
  <si>
    <t>R. Derge</t>
  </si>
  <si>
    <t>2 Peter 3:18-14</t>
  </si>
  <si>
    <t>Mark 1:1-8</t>
  </si>
  <si>
    <t>Psalm 14</t>
  </si>
  <si>
    <t>12, 14, 28, 15</t>
  </si>
  <si>
    <t>Teach your children to love</t>
  </si>
  <si>
    <t>Acts 11:19-26</t>
  </si>
  <si>
    <t>1 John 4:1-11</t>
  </si>
  <si>
    <t>85*</t>
  </si>
  <si>
    <t>341*,502* (743, 505)</t>
  </si>
  <si>
    <t>members of choir</t>
  </si>
  <si>
    <t>Confirmation</t>
  </si>
  <si>
    <t>Matthew 6:25-34</t>
  </si>
  <si>
    <t>Advent Antidotes: The remedy for worry</t>
  </si>
  <si>
    <t>Proverbs 3:5,6</t>
  </si>
  <si>
    <t>Luke 1:26-28</t>
  </si>
  <si>
    <t>Psalm 85</t>
  </si>
  <si>
    <t>23, 24, 439, 12</t>
  </si>
  <si>
    <t>John 17:11b-19</t>
  </si>
  <si>
    <t>Sanctify them by your truth</t>
  </si>
  <si>
    <t>Acts 1:1-11</t>
  </si>
  <si>
    <t>1 John 4:13-21</t>
  </si>
  <si>
    <t>171:1-4, 171:5-6, 173 (for closing, see service notes)</t>
  </si>
  <si>
    <t>John 1:6-8, 19-28</t>
  </si>
  <si>
    <t>Witness the Light</t>
  </si>
  <si>
    <t>Malachi 4:1-6</t>
  </si>
  <si>
    <t>1 Thessalonians 5:16-24</t>
  </si>
  <si>
    <t>John 1:6-8,19-28</t>
  </si>
  <si>
    <t>Psalm 71</t>
  </si>
  <si>
    <t>16, 11 (743, 702)</t>
  </si>
  <si>
    <t>1 Timothy 6:6-10</t>
  </si>
  <si>
    <t>Advent Antidotes: The remedy for consumerism Sermon Theme - I am content!</t>
  </si>
  <si>
    <t>Psalm 62:1-12</t>
  </si>
  <si>
    <t>James 4:13-5:8</t>
  </si>
  <si>
    <t>Luke 1:68-79</t>
  </si>
  <si>
    <t>Psalm 89</t>
  </si>
  <si>
    <t>22, 275, 40, 592</t>
  </si>
  <si>
    <t>anthem is last pre-service piece (roughly 4 minutes)</t>
  </si>
  <si>
    <t>No preacher</t>
  </si>
  <si>
    <t xml:space="preserve">Gran - </t>
  </si>
  <si>
    <t>50, 2, 90, 702, 24, 66, 52, 92, 34, 61</t>
  </si>
  <si>
    <t>Memorial Day</t>
  </si>
  <si>
    <t xml:space="preserve">Christmas Eve </t>
  </si>
  <si>
    <t>Special - Branches Band</t>
  </si>
  <si>
    <t>Isaiah 11:1-10</t>
  </si>
  <si>
    <t>Behold the Branch</t>
  </si>
  <si>
    <t>Psalm 8</t>
  </si>
  <si>
    <t>View the saving grace of God</t>
  </si>
  <si>
    <t>Psalm 96</t>
  </si>
  <si>
    <t>58, 52, 61, 60</t>
  </si>
  <si>
    <t>Fueled by the gospel, fired by the Spirit</t>
  </si>
  <si>
    <t>Ezekiel 37:1-14</t>
  </si>
  <si>
    <t>John 14:25-27</t>
  </si>
  <si>
    <t>176, 177, (314)(743)747</t>
  </si>
  <si>
    <t>Face to face with God</t>
  </si>
  <si>
    <t>Psalm 98</t>
  </si>
  <si>
    <t>55, [64] [62] [33] 45 [707:1,2,4] [34:1,2,4] (40, 41, 42) 49</t>
  </si>
  <si>
    <t xml:space="preserve">Grace: for the Gloria, Sanctus, and Nunc, no directions or tune are needed.  Just insert the text in as stated in CWS.  </t>
  </si>
  <si>
    <t>spoken</t>
  </si>
  <si>
    <t>Luke 2:25-40</t>
  </si>
  <si>
    <t>Christmas is for old people, too!</t>
  </si>
  <si>
    <t>Isaiah 45:20-25</t>
  </si>
  <si>
    <t>Colossians 3:12-17</t>
  </si>
  <si>
    <t>Psalm 111</t>
  </si>
  <si>
    <t>78, 41 (35, 37) 49</t>
  </si>
  <si>
    <t>Romans 8:14-17</t>
  </si>
  <si>
    <t>Praise the Spirit's triple play</t>
  </si>
  <si>
    <t>Isaiah 6:1-8</t>
  </si>
  <si>
    <t>John 3:1-17</t>
  </si>
  <si>
    <t>Psalm 90:15-17</t>
  </si>
  <si>
    <t>Establish the work of our hands</t>
  </si>
  <si>
    <t>193, 195 (740*, 191)</t>
  </si>
  <si>
    <t>Ecclesiastes 3:1-14</t>
  </si>
  <si>
    <t>Matthew 6:19-24</t>
  </si>
  <si>
    <t>708, 441 (70-310 mix) 594</t>
  </si>
  <si>
    <t>NSS Morning Praise*</t>
  </si>
  <si>
    <t>2 Cor 4:5-12</t>
  </si>
  <si>
    <t>Let it shine!</t>
  </si>
  <si>
    <t>Dt. 5:12-14</t>
  </si>
  <si>
    <t>2 Corinth 4:5-12</t>
  </si>
  <si>
    <t>Mark 2:23-28</t>
  </si>
  <si>
    <t>126*</t>
  </si>
  <si>
    <t>586*, 452*, 771, 399</t>
  </si>
  <si>
    <t>2 Cor 4:13-18</t>
  </si>
  <si>
    <t>Do not be discouraged</t>
  </si>
  <si>
    <t>Genesis 3:8-15</t>
  </si>
  <si>
    <t>2 Corinth 4:13-18</t>
  </si>
  <si>
    <t>Mark 3:20-35</t>
  </si>
  <si>
    <t>343, 417, (387, 596)</t>
  </si>
  <si>
    <t>2 Cor 5:1-10</t>
  </si>
  <si>
    <t>Heaven is my home</t>
  </si>
  <si>
    <t>Ezekiel 17:22-24</t>
  </si>
  <si>
    <t>2 Corinth 5:1-10</t>
  </si>
  <si>
    <t>Mark 4:26-34</t>
  </si>
  <si>
    <t>92*</t>
  </si>
  <si>
    <t>255, 188, 756*, 213</t>
  </si>
  <si>
    <t>2 Cor 5:14-21</t>
  </si>
  <si>
    <t>God's Great Exchange</t>
  </si>
  <si>
    <t>Job 38:1-11</t>
  </si>
  <si>
    <t>2 Corinth 5:14-21</t>
  </si>
  <si>
    <t>Mark 4:35-41</t>
  </si>
  <si>
    <t>353, 384, (376,379)</t>
  </si>
  <si>
    <t>2 Cor 8:1-9, 13,14</t>
  </si>
  <si>
    <t>Be an abundant giver</t>
  </si>
  <si>
    <t>Lament 3:22-33</t>
  </si>
  <si>
    <t>2 Corinth 8:1-9,13,14</t>
  </si>
  <si>
    <t>Mark 5:21-24a,35-43</t>
  </si>
  <si>
    <t>Great is Thy Faithfulness*, 486, 489, 619</t>
  </si>
  <si>
    <t>Budget open forum</t>
  </si>
  <si>
    <t>It's (not!) different this time</t>
  </si>
  <si>
    <t>585 [591], 379*, (397, 384) [592]</t>
  </si>
  <si>
    <t xml:space="preserve">CW Morning Praise  </t>
  </si>
  <si>
    <t>What do you want the prophet to do?</t>
  </si>
  <si>
    <t>735, 543, 771, 456</t>
  </si>
  <si>
    <t>Brauer (Gran)</t>
  </si>
  <si>
    <t>Thje Lord Jesus is our righteousness</t>
  </si>
  <si>
    <t>2016-C</t>
  </si>
  <si>
    <t>748, 391, (372, 316)</t>
  </si>
  <si>
    <t>CWS Gathering Rite on Holy Baptism to begin; then, Service of the Word</t>
  </si>
  <si>
    <t>Precious, blood-bought souls</t>
  </si>
  <si>
    <t>84*</t>
  </si>
  <si>
    <t>Gathering Rite hymn, 112, 272 (immediately after sermon), 128, 293</t>
  </si>
  <si>
    <t>2017-A</t>
  </si>
  <si>
    <t>Kurt (Hoskinson -Mon)</t>
  </si>
  <si>
    <t xml:space="preserve">I want . . . </t>
  </si>
  <si>
    <t>580, 421*, (315, 318*)</t>
  </si>
  <si>
    <t>Joel Gaertner</t>
  </si>
  <si>
    <t>Erik Landwehr</t>
  </si>
  <si>
    <t>331, 465, 383, 327</t>
  </si>
  <si>
    <t>Proverbs 9:1-6</t>
  </si>
  <si>
    <t xml:space="preserve">Walk in the way of understaning </t>
  </si>
  <si>
    <t>1*</t>
  </si>
  <si>
    <t>561, 283, (311*, 462) [589 Monday closing]</t>
  </si>
  <si>
    <t>Joshua 24:1,2a,14-18</t>
  </si>
  <si>
    <t>Choices, choices</t>
  </si>
  <si>
    <t xml:space="preserve">184, 506, (312, 596) </t>
  </si>
  <si>
    <t>Labor Day</t>
  </si>
  <si>
    <t>Comunion Assistance</t>
  </si>
  <si>
    <t>Mark 7:1-8,14,21-23</t>
  </si>
  <si>
    <t>Cleanse me, cleanse me, Lord, within!</t>
  </si>
  <si>
    <t>8:00 a.m.</t>
  </si>
  <si>
    <t>9:15 a.m.</t>
  </si>
  <si>
    <t>10:30 a.m.</t>
  </si>
  <si>
    <t>528, 280*, 283, 323</t>
  </si>
  <si>
    <t>Stewardship Sundays</t>
  </si>
  <si>
    <t>Mark 7:31-37</t>
  </si>
  <si>
    <t>Managers of a miracle</t>
  </si>
  <si>
    <t>282, 469, (309, 598), inserted hymn [588:1,5,7 Monday closing]</t>
  </si>
  <si>
    <t>Psalm 116</t>
  </si>
  <si>
    <t>How can I repay the Lord?</t>
  </si>
  <si>
    <t>454, 453, 489, inserted hymn</t>
  </si>
  <si>
    <t>Mark 9:30-37</t>
  </si>
  <si>
    <t>Lord, make us great!</t>
  </si>
  <si>
    <t>193, 486, (490, 317), inserted hymn [590 Monday closing]</t>
  </si>
  <si>
    <t>CW Morning Praise</t>
  </si>
  <si>
    <t>Mark 9:38-50</t>
  </si>
  <si>
    <t>Only Jesus!</t>
  </si>
  <si>
    <t xml:space="preserve">370:1-3, 765*, 290:1&amp;3, 370:4,5 </t>
  </si>
  <si>
    <t>Mark 10:2-16</t>
  </si>
  <si>
    <t>What does God say about marriage?</t>
  </si>
  <si>
    <t>241*, 503, (354, 317) [587:3,4 Monday closing]</t>
  </si>
  <si>
    <t>Isaiah 52:7</t>
  </si>
  <si>
    <t>Mark 10:17-27</t>
  </si>
  <si>
    <t>How did you do on the test?</t>
  </si>
  <si>
    <t>758*/401, 477, 355, 745</t>
  </si>
  <si>
    <t>Mark 10:35-45</t>
  </si>
  <si>
    <t>What's in it for me?</t>
  </si>
  <si>
    <t>22*</t>
  </si>
  <si>
    <t xml:space="preserve">523*, 465, (453, 316) </t>
  </si>
  <si>
    <t>Sonshine, Moke</t>
  </si>
  <si>
    <t>Pancake Breakfast</t>
  </si>
  <si>
    <t>Mark 13:5-11</t>
  </si>
  <si>
    <t>The final countdown</t>
  </si>
  <si>
    <t>201*, 377:1-4*, 293, 537</t>
  </si>
  <si>
    <t>John 5:19-24</t>
  </si>
  <si>
    <t>Prepare to be amazed</t>
  </si>
  <si>
    <t>90*</t>
  </si>
  <si>
    <t>306, 209, (207), 219 closing</t>
  </si>
  <si>
    <t>John 5:25-29</t>
  </si>
  <si>
    <t>Hear and live</t>
  </si>
  <si>
    <t>551:1-3, 551:4-8, 219, 728:1</t>
  </si>
  <si>
    <t>One in Christ the King</t>
  </si>
  <si>
    <t>Ephesians 4:1-6</t>
  </si>
  <si>
    <t>Keep the Unity</t>
  </si>
  <si>
    <t>45*</t>
  </si>
  <si>
    <t>540, 341 (368, 373)</t>
  </si>
  <si>
    <t>Thank you for everything</t>
  </si>
  <si>
    <t>100*</t>
  </si>
  <si>
    <t>609*, 611, 615, 613</t>
  </si>
  <si>
    <t>Luke 21:25-36</t>
  </si>
  <si>
    <t>It's not "just a game!"</t>
  </si>
  <si>
    <t xml:space="preserve">702, 10, (743, 337) </t>
  </si>
  <si>
    <t>Jeremiah 33:14-16</t>
  </si>
  <si>
    <t>The thirst quencher</t>
  </si>
  <si>
    <t>Romans 3:19-28</t>
  </si>
  <si>
    <t>18, 5, 376, 783</t>
  </si>
  <si>
    <t>Luke 3:1-6</t>
  </si>
  <si>
    <t>Move some dirt this December</t>
  </si>
  <si>
    <t>2,16*,13,27</t>
  </si>
  <si>
    <t>Seek the Lord</t>
  </si>
  <si>
    <t>43, 305, 32:1-3, 32:4-5</t>
  </si>
  <si>
    <t>Eager Expectation</t>
  </si>
  <si>
    <t>see service ntoes</t>
  </si>
  <si>
    <t>7,14 (11,20)</t>
  </si>
  <si>
    <t>Isaiah 60:1-3</t>
  </si>
  <si>
    <t>24*</t>
  </si>
  <si>
    <t>4, 9, 34, 782*</t>
  </si>
  <si>
    <t>Luke 1:39-55</t>
  </si>
  <si>
    <t>23, 24, 274, 399</t>
  </si>
  <si>
    <t>done in-house</t>
  </si>
  <si>
    <t>Special service - Large format, Kevin Bode will prep</t>
  </si>
  <si>
    <t>Special service - Kevin Bode will prepare</t>
  </si>
  <si>
    <t>50, 52, 28, 63, 60, 61</t>
  </si>
  <si>
    <t>L and C choir</t>
  </si>
  <si>
    <t>Katrina Buchholz</t>
  </si>
  <si>
    <t>Special service - Pastor Buchholz will prepare</t>
  </si>
  <si>
    <t>Do you see what I see?</t>
  </si>
  <si>
    <t>63, 67, 64, 60</t>
  </si>
  <si>
    <t>Randy Bode</t>
  </si>
  <si>
    <t>God wants to be with us</t>
  </si>
  <si>
    <t>55, 62, 34* (38) 40</t>
  </si>
  <si>
    <t>Holiday break</t>
  </si>
  <si>
    <t>Modified Divine Service II (based on Christmas)</t>
  </si>
  <si>
    <t>Our big brother</t>
  </si>
  <si>
    <t>343,41 (366,37) 57</t>
  </si>
  <si>
    <t>64, 499, 507 (70)</t>
  </si>
  <si>
    <t>B COP</t>
  </si>
  <si>
    <t>B (Mon) - Cal Conf</t>
  </si>
  <si>
    <t>B (Mon) - District Conv.</t>
  </si>
  <si>
    <t>P - Graduation</t>
  </si>
  <si>
    <t>G - Vacation</t>
  </si>
  <si>
    <t>B - Vacation</t>
  </si>
  <si>
    <t>B - COP (Mon)</t>
  </si>
  <si>
    <t>B (Mon) - Pastors' Conf.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</si>
</sst>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F800]dddd\,\ mmmm\ dd\,\ yyyy"/>
    <numFmt numFmtId="166" formatCode="m\,\ d\,\ yy"/>
  </numFmts>
  <fonts count="72">
    <font>
      <sz val="10"/>
      <color rgb="FF000000"/>
      <name val="Arial"/>
    </font>
    <font>
      <b/>
      <sz val="12"/>
      <name val="Arial"/>
    </font>
    <font>
      <sz val="11"/>
      <color rgb="FFFFFFFF"/>
      <name val="Calibri"/>
    </font>
    <font>
      <sz val="10"/>
      <name val="Arial"/>
    </font>
    <font>
      <sz val="11"/>
      <color rgb="FFFFFFFF"/>
      <name val="Arial"/>
    </font>
    <font>
      <u/>
      <sz val="11"/>
      <color rgb="FFFFFFFF"/>
      <name val="Calibri"/>
    </font>
    <font>
      <sz val="10"/>
      <name val="Arial"/>
    </font>
    <font>
      <b/>
      <sz val="11"/>
      <color rgb="FF282828"/>
      <name val="Arial"/>
    </font>
    <font>
      <sz val="11"/>
      <color rgb="FF000000"/>
      <name val="Calibri"/>
    </font>
    <font>
      <sz val="11"/>
      <color rgb="FF000000"/>
      <name val="Arial"/>
    </font>
    <font>
      <u/>
      <sz val="10"/>
      <color rgb="FF0000FF"/>
      <name val="Arial"/>
    </font>
    <font>
      <u/>
      <sz val="11"/>
      <color rgb="FF000000"/>
      <name val="Calibri"/>
    </font>
    <font>
      <u/>
      <sz val="10"/>
      <color rgb="FF0000FF"/>
      <name val="Arial"/>
    </font>
    <font>
      <sz val="11"/>
      <color rgb="FF000000"/>
      <name val="Inconsolata"/>
    </font>
    <font>
      <u/>
      <sz val="11"/>
      <color rgb="FF000000"/>
      <name val="Calibri"/>
    </font>
    <font>
      <u/>
      <sz val="11"/>
      <color rgb="FF000000"/>
      <name val="Calibri"/>
    </font>
    <font>
      <u/>
      <sz val="11"/>
      <color rgb="FFFFFFFF"/>
      <name val="Calibri"/>
    </font>
    <font>
      <sz val="10"/>
      <color rgb="FF000000"/>
      <name val="Arial"/>
    </font>
    <font>
      <sz val="11"/>
      <name val="Calibri"/>
    </font>
    <font>
      <sz val="11"/>
      <color rgb="FF0000FF"/>
      <name val="Calibri"/>
    </font>
    <font>
      <u/>
      <sz val="11"/>
      <color rgb="FF000000"/>
      <name val="Calibri"/>
    </font>
    <font>
      <u/>
      <sz val="11"/>
      <color rgb="FF000000"/>
      <name val="Calibri"/>
    </font>
    <font>
      <u/>
      <sz val="11"/>
      <color rgb="FF000000"/>
      <name val="Calibri"/>
    </font>
    <font>
      <i/>
      <sz val="11"/>
      <color rgb="FF000000"/>
      <name val="Calibri"/>
    </font>
    <font>
      <sz val="11"/>
      <color rgb="FFFFFF00"/>
      <name val="Calibri"/>
    </font>
    <font>
      <sz val="11"/>
      <color rgb="FF222222"/>
      <name val="Calibri"/>
    </font>
    <font>
      <u/>
      <sz val="11"/>
      <color rgb="FF000000"/>
      <name val="Calibri"/>
    </font>
    <font>
      <u/>
      <sz val="11"/>
      <color rgb="FF000000"/>
      <name val="Calibri"/>
    </font>
    <font>
      <sz val="11"/>
      <color rgb="FF282828"/>
      <name val="Calibri"/>
    </font>
    <font>
      <u/>
      <sz val="11"/>
      <color rgb="FF000000"/>
      <name val="Calibri"/>
    </font>
    <font>
      <u/>
      <sz val="11"/>
      <color rgb="FF000000"/>
      <name val="Calibri"/>
    </font>
    <font>
      <u/>
      <sz val="11"/>
      <color rgb="FF000000"/>
      <name val="Calibri"/>
    </font>
    <font>
      <sz val="10"/>
      <name val="Trebuchet MS"/>
    </font>
    <font>
      <b/>
      <i/>
      <sz val="11"/>
      <color rgb="FF0000FF"/>
      <name val="Calibri"/>
    </font>
    <font>
      <sz val="10"/>
      <color rgb="FF000000"/>
      <name val="Calibri"/>
    </font>
    <font>
      <u/>
      <sz val="11"/>
      <color rgb="FF000000"/>
      <name val="Calibri"/>
    </font>
    <font>
      <u/>
      <sz val="11"/>
      <color rgb="FF000000"/>
      <name val="Calibri"/>
    </font>
    <font>
      <u/>
      <sz val="11"/>
      <color rgb="FF000000"/>
      <name val="Calibri"/>
    </font>
    <font>
      <i/>
      <sz val="10"/>
      <color rgb="FF000000"/>
      <name val="Arial"/>
    </font>
    <font>
      <u/>
      <sz val="11"/>
      <color rgb="FF000000"/>
      <name val="Calibri"/>
    </font>
    <font>
      <u/>
      <sz val="11"/>
      <color rgb="FF000000"/>
      <name val="Calibri"/>
    </font>
    <font>
      <u/>
      <sz val="11"/>
      <color rgb="FF000000"/>
      <name val="Calibri"/>
    </font>
    <font>
      <u/>
      <sz val="11"/>
      <color rgb="FF000000"/>
      <name val="Arial"/>
    </font>
    <font>
      <sz val="10"/>
      <color rgb="FF000000"/>
      <name val="Arial"/>
    </font>
    <font>
      <sz val="9"/>
      <color rgb="FF000000"/>
      <name val="Calibri"/>
    </font>
    <font>
      <u/>
      <sz val="11"/>
      <color rgb="FF000000"/>
      <name val="Calibri"/>
    </font>
    <font>
      <u/>
      <sz val="11"/>
      <color rgb="FF000000"/>
      <name val="Calibri"/>
    </font>
    <font>
      <u/>
      <sz val="10"/>
      <color rgb="FF0000FF"/>
      <name val="Arial"/>
    </font>
    <font>
      <b/>
      <sz val="11"/>
      <color rgb="FFFFFFFF"/>
      <name val="Arial"/>
    </font>
    <font>
      <sz val="11"/>
      <color rgb="FFF3F3F3"/>
      <name val="Calibri"/>
    </font>
    <font>
      <u/>
      <sz val="11"/>
      <color rgb="FF000000"/>
      <name val="Calibri"/>
    </font>
    <font>
      <u/>
      <sz val="11"/>
      <color rgb="FF000000"/>
      <name val="Calibri"/>
    </font>
    <font>
      <u/>
      <sz val="11"/>
      <color rgb="FF000000"/>
      <name val="Calibri"/>
    </font>
    <font>
      <sz val="9"/>
      <color rgb="FF000000"/>
      <name val="Arial"/>
    </font>
    <font>
      <u/>
      <sz val="10"/>
      <color rgb="FF222222"/>
      <name val="Arial"/>
    </font>
    <font>
      <u/>
      <sz val="11"/>
      <color rgb="FF000000"/>
      <name val="Calibri"/>
    </font>
    <font>
      <u/>
      <sz val="11"/>
      <color rgb="FF000000"/>
      <name val="Calibri"/>
    </font>
    <font>
      <u/>
      <sz val="11"/>
      <color rgb="FF000000"/>
      <name val="Calibri"/>
    </font>
    <font>
      <sz val="10"/>
      <color rgb="FF0000FF"/>
      <name val="Arial"/>
    </font>
    <font>
      <u/>
      <sz val="10"/>
      <color rgb="FF0000FF"/>
      <name val="Arial"/>
    </font>
    <font>
      <i/>
      <u/>
      <sz val="11"/>
      <color rgb="FF000000"/>
      <name val="Calibri"/>
    </font>
    <font>
      <u/>
      <sz val="11"/>
      <color rgb="FF000000"/>
      <name val="Calibri"/>
    </font>
    <font>
      <sz val="11"/>
      <name val="Arial"/>
    </font>
    <font>
      <u/>
      <sz val="11"/>
      <color rgb="FF000000"/>
      <name val="Calibri"/>
    </font>
    <font>
      <u/>
      <sz val="11"/>
      <color rgb="FF000000"/>
      <name val="Calibri"/>
    </font>
    <font>
      <u/>
      <sz val="11"/>
      <color rgb="FF000000"/>
      <name val="Calibri"/>
    </font>
    <font>
      <sz val="10"/>
      <color rgb="FF000000"/>
      <name val="Arial"/>
    </font>
    <font>
      <i/>
      <sz val="10"/>
      <name val="Arial"/>
    </font>
    <font>
      <b/>
      <sz val="10"/>
      <name val="Arial"/>
    </font>
    <font>
      <b/>
      <sz val="10"/>
      <color rgb="FF0000FF"/>
      <name val="Arial"/>
    </font>
    <font>
      <sz val="10"/>
      <color rgb="FF073763"/>
      <name val="Arial"/>
    </font>
    <font>
      <sz val="10"/>
      <color rgb="FFFF0000"/>
      <name val="Arial"/>
    </font>
  </fonts>
  <fills count="27">
    <fill>
      <patternFill patternType="none"/>
    </fill>
    <fill>
      <patternFill patternType="gray125"/>
    </fill>
    <fill>
      <patternFill patternType="solid">
        <fgColor rgb="FF000000"/>
        <bgColor rgb="FF000000"/>
      </patternFill>
    </fill>
    <fill>
      <patternFill patternType="solid">
        <fgColor rgb="FFFFF2CC"/>
        <bgColor rgb="FFFFF2CC"/>
      </patternFill>
    </fill>
    <fill>
      <patternFill patternType="solid">
        <fgColor rgb="FFFFFFFF"/>
        <bgColor rgb="FFFFFFFF"/>
      </patternFill>
    </fill>
    <fill>
      <patternFill patternType="solid">
        <fgColor rgb="FFFFFF00"/>
        <bgColor rgb="FFFFFF00"/>
      </patternFill>
    </fill>
    <fill>
      <patternFill patternType="solid">
        <fgColor rgb="FF00FF00"/>
        <bgColor rgb="FF00FF00"/>
      </patternFill>
    </fill>
    <fill>
      <patternFill patternType="solid">
        <fgColor rgb="FFF9CB9C"/>
        <bgColor rgb="FFF9CB9C"/>
      </patternFill>
    </fill>
    <fill>
      <patternFill patternType="solid">
        <fgColor rgb="FF93C47D"/>
        <bgColor rgb="FF93C47D"/>
      </patternFill>
    </fill>
    <fill>
      <patternFill patternType="solid">
        <fgColor rgb="FFD9D2E9"/>
        <bgColor rgb="FFD9D2E9"/>
      </patternFill>
    </fill>
    <fill>
      <patternFill patternType="solid">
        <fgColor rgb="FF999999"/>
        <bgColor rgb="FF999999"/>
      </patternFill>
    </fill>
    <fill>
      <patternFill patternType="solid">
        <fgColor rgb="FF8E7CC3"/>
        <bgColor rgb="FF8E7CC3"/>
      </patternFill>
    </fill>
    <fill>
      <patternFill patternType="solid">
        <fgColor rgb="FFD5A6BD"/>
        <bgColor rgb="FFD5A6BD"/>
      </patternFill>
    </fill>
    <fill>
      <patternFill patternType="solid">
        <fgColor rgb="FF434343"/>
        <bgColor rgb="FF434343"/>
      </patternFill>
    </fill>
    <fill>
      <patternFill patternType="solid">
        <fgColor rgb="FFE06666"/>
        <bgColor rgb="FFE06666"/>
      </patternFill>
    </fill>
    <fill>
      <patternFill patternType="solid">
        <fgColor rgb="FF666666"/>
        <bgColor rgb="FF666666"/>
      </patternFill>
    </fill>
    <fill>
      <patternFill patternType="solid">
        <fgColor rgb="FFFFFEEF"/>
        <bgColor rgb="FFFFFEEF"/>
      </patternFill>
    </fill>
    <fill>
      <patternFill patternType="solid">
        <fgColor rgb="FFF9FFF7"/>
        <bgColor rgb="FFF9FFF7"/>
      </patternFill>
    </fill>
    <fill>
      <patternFill patternType="solid">
        <fgColor rgb="FFF6B26B"/>
        <bgColor rgb="FFF6B26B"/>
      </patternFill>
    </fill>
    <fill>
      <patternFill patternType="solid">
        <fgColor rgb="FFB6D7A8"/>
        <bgColor rgb="FFB6D7A8"/>
      </patternFill>
    </fill>
    <fill>
      <patternFill patternType="solid">
        <fgColor rgb="FFF4CCCC"/>
        <bgColor rgb="FFF4CCCC"/>
      </patternFill>
    </fill>
    <fill>
      <patternFill patternType="solid">
        <fgColor rgb="FFEA9999"/>
        <bgColor rgb="FFEA9999"/>
      </patternFill>
    </fill>
    <fill>
      <patternFill patternType="solid">
        <fgColor rgb="FFBDBDBD"/>
        <bgColor rgb="FFBDBDBD"/>
      </patternFill>
    </fill>
    <fill>
      <patternFill patternType="solid">
        <fgColor rgb="FF6D9EEB"/>
        <bgColor rgb="FF6D9EEB"/>
      </patternFill>
    </fill>
    <fill>
      <patternFill patternType="solid">
        <fgColor rgb="FFA4C2F4"/>
        <bgColor rgb="FFA4C2F4"/>
      </patternFill>
    </fill>
    <fill>
      <patternFill patternType="solid">
        <fgColor rgb="FF7F7F7F"/>
        <bgColor rgb="FF7F7F7F"/>
      </patternFill>
    </fill>
    <fill>
      <patternFill patternType="solid">
        <fgColor rgb="FFB7B7B7"/>
        <bgColor rgb="FFB7B7B7"/>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299">
    <xf numFmtId="0" fontId="0" fillId="0" borderId="0" xfId="0" applyFont="1" applyAlignment="1">
      <alignment wrapText="1"/>
    </xf>
    <xf numFmtId="0" fontId="1" fillId="0" borderId="0" xfId="0" applyFont="1" applyAlignment="1">
      <alignment wrapText="1"/>
    </xf>
    <xf numFmtId="0" fontId="2" fillId="2" borderId="0" xfId="0" applyFont="1" applyFill="1" applyAlignment="1"/>
    <xf numFmtId="164" fontId="3" fillId="3" borderId="1" xfId="0" applyNumberFormat="1" applyFont="1" applyFill="1" applyBorder="1" applyAlignment="1">
      <alignment horizontal="left" wrapText="1"/>
    </xf>
    <xf numFmtId="0" fontId="2" fillId="2" borderId="1" xfId="0" applyFont="1" applyFill="1" applyBorder="1" applyAlignment="1"/>
    <xf numFmtId="0" fontId="3" fillId="0" borderId="0" xfId="0" applyFont="1" applyAlignment="1">
      <alignment wrapText="1"/>
    </xf>
    <xf numFmtId="0" fontId="4" fillId="2" borderId="1" xfId="0" applyFont="1" applyFill="1" applyBorder="1" applyAlignment="1"/>
    <xf numFmtId="0" fontId="2" fillId="2" borderId="1" xfId="0" applyFont="1" applyFill="1" applyBorder="1" applyAlignment="1"/>
    <xf numFmtId="0" fontId="2" fillId="2" borderId="1" xfId="0" applyFont="1" applyFill="1" applyBorder="1" applyAlignment="1">
      <alignment horizontal="center"/>
    </xf>
    <xf numFmtId="0" fontId="2" fillId="2" borderId="1" xfId="0" applyFont="1" applyFill="1" applyBorder="1" applyAlignment="1">
      <alignment wrapText="1"/>
    </xf>
    <xf numFmtId="0" fontId="5" fillId="2" borderId="1" xfId="0" applyFont="1" applyFill="1" applyBorder="1" applyAlignment="1">
      <alignment horizontal="center"/>
    </xf>
    <xf numFmtId="0" fontId="2" fillId="2" borderId="1" xfId="0" applyFont="1" applyFill="1" applyBorder="1" applyAlignment="1">
      <alignment wrapText="1"/>
    </xf>
    <xf numFmtId="0" fontId="1" fillId="0" borderId="0" xfId="0" applyFont="1" applyAlignment="1">
      <alignment wrapText="1"/>
    </xf>
    <xf numFmtId="0" fontId="2" fillId="2" borderId="0" xfId="0" applyFont="1" applyFill="1" applyAlignment="1">
      <alignment wrapText="1"/>
    </xf>
    <xf numFmtId="0" fontId="1" fillId="0" borderId="0" xfId="0" applyFont="1" applyAlignment="1">
      <alignment vertical="top" wrapText="1"/>
    </xf>
    <xf numFmtId="0" fontId="6" fillId="4" borderId="0" xfId="0" applyFont="1" applyFill="1" applyAlignment="1">
      <alignment wrapText="1"/>
    </xf>
    <xf numFmtId="0" fontId="7" fillId="4" borderId="0" xfId="0" applyFont="1" applyFill="1" applyAlignment="1">
      <alignment wrapText="1"/>
    </xf>
    <xf numFmtId="165" fontId="8" fillId="4" borderId="1" xfId="0" applyNumberFormat="1" applyFont="1" applyFill="1" applyBorder="1" applyAlignment="1">
      <alignment horizontal="left"/>
    </xf>
    <xf numFmtId="14" fontId="1" fillId="0" borderId="0" xfId="0" applyNumberFormat="1" applyFont="1" applyAlignment="1">
      <alignment wrapText="1"/>
    </xf>
    <xf numFmtId="0" fontId="8" fillId="4" borderId="1" xfId="0" applyFont="1" applyFill="1" applyBorder="1" applyAlignment="1">
      <alignment horizontal="left"/>
    </xf>
    <xf numFmtId="0" fontId="8" fillId="4" borderId="1" xfId="0" applyFont="1" applyFill="1" applyBorder="1" applyAlignment="1"/>
    <xf numFmtId="0" fontId="9" fillId="4" borderId="1" xfId="0" applyFont="1" applyFill="1" applyBorder="1" applyAlignment="1"/>
    <xf numFmtId="0" fontId="8" fillId="4" borderId="1" xfId="0" applyFont="1" applyFill="1" applyBorder="1" applyAlignment="1">
      <alignment horizontal="center"/>
    </xf>
    <xf numFmtId="0" fontId="8" fillId="4" borderId="1" xfId="0" applyFont="1" applyFill="1" applyBorder="1" applyAlignment="1">
      <alignment horizontal="center"/>
    </xf>
    <xf numFmtId="0" fontId="10" fillId="0" borderId="0" xfId="0" applyFont="1" applyAlignment="1">
      <alignment wrapText="1"/>
    </xf>
    <xf numFmtId="0" fontId="8" fillId="4" borderId="1" xfId="0" applyFont="1" applyFill="1" applyBorder="1" applyAlignment="1"/>
    <xf numFmtId="0" fontId="8" fillId="4" borderId="1" xfId="0" applyFont="1" applyFill="1" applyBorder="1" applyAlignment="1">
      <alignment wrapText="1"/>
    </xf>
    <xf numFmtId="0" fontId="8" fillId="5" borderId="1" xfId="0" applyFont="1" applyFill="1" applyBorder="1" applyAlignment="1"/>
    <xf numFmtId="0" fontId="11" fillId="4" borderId="1" xfId="0" applyFont="1" applyFill="1" applyBorder="1" applyAlignment="1"/>
    <xf numFmtId="0" fontId="12" fillId="0" borderId="0" xfId="0" applyFont="1" applyAlignment="1">
      <alignment horizontal="left" wrapText="1"/>
    </xf>
    <xf numFmtId="0" fontId="13" fillId="4" borderId="0" xfId="0" applyFont="1" applyFill="1" applyAlignment="1">
      <alignment wrapText="1"/>
    </xf>
    <xf numFmtId="0" fontId="14" fillId="4" borderId="1" xfId="0" applyFont="1" applyFill="1" applyBorder="1" applyAlignment="1"/>
    <xf numFmtId="0" fontId="15" fillId="4" borderId="1" xfId="0" applyFont="1" applyFill="1" applyBorder="1" applyAlignment="1">
      <alignment horizontal="center"/>
    </xf>
    <xf numFmtId="0" fontId="8" fillId="4" borderId="1" xfId="0" applyFont="1" applyFill="1" applyBorder="1" applyAlignment="1">
      <alignment wrapText="1"/>
    </xf>
    <xf numFmtId="0" fontId="8" fillId="6" borderId="1" xfId="0" applyFont="1" applyFill="1" applyBorder="1" applyAlignment="1">
      <alignment wrapText="1"/>
    </xf>
    <xf numFmtId="0" fontId="9" fillId="4" borderId="0" xfId="0" applyFont="1" applyFill="1" applyAlignment="1">
      <alignment wrapText="1"/>
    </xf>
    <xf numFmtId="0" fontId="16" fillId="2" borderId="1" xfId="0" applyFont="1" applyFill="1" applyBorder="1" applyAlignment="1">
      <alignment wrapText="1"/>
    </xf>
    <xf numFmtId="165" fontId="8" fillId="4" borderId="1" xfId="0" applyNumberFormat="1" applyFont="1" applyFill="1" applyBorder="1" applyAlignment="1">
      <alignment horizontal="left"/>
    </xf>
    <xf numFmtId="0" fontId="17" fillId="7" borderId="1" xfId="0" applyFont="1" applyFill="1" applyBorder="1" applyAlignment="1"/>
    <xf numFmtId="0" fontId="8" fillId="6" borderId="1" xfId="0" applyFont="1" applyFill="1" applyBorder="1" applyAlignment="1">
      <alignment wrapText="1"/>
    </xf>
    <xf numFmtId="0" fontId="8" fillId="4" borderId="1" xfId="0" applyFont="1" applyFill="1" applyBorder="1" applyAlignment="1"/>
    <xf numFmtId="165" fontId="8" fillId="8" borderId="1" xfId="0" applyNumberFormat="1" applyFont="1" applyFill="1" applyBorder="1" applyAlignment="1">
      <alignment horizontal="left"/>
    </xf>
    <xf numFmtId="0" fontId="18" fillId="8" borderId="1" xfId="0" applyFont="1" applyFill="1" applyBorder="1" applyAlignment="1">
      <alignment horizontal="left"/>
    </xf>
    <xf numFmtId="0" fontId="8" fillId="8" borderId="1" xfId="0" applyFont="1" applyFill="1" applyBorder="1" applyAlignment="1"/>
    <xf numFmtId="0" fontId="8" fillId="8" borderId="1" xfId="0" applyFont="1" applyFill="1" applyBorder="1" applyAlignment="1">
      <alignment horizontal="center"/>
    </xf>
    <xf numFmtId="0" fontId="8" fillId="8" borderId="1" xfId="0" applyFont="1" applyFill="1" applyBorder="1" applyAlignment="1">
      <alignment horizontal="center"/>
    </xf>
    <xf numFmtId="0" fontId="8" fillId="4" borderId="1" xfId="0" applyFont="1" applyFill="1" applyBorder="1" applyAlignment="1"/>
    <xf numFmtId="0" fontId="8" fillId="8" borderId="1" xfId="0" applyFont="1" applyFill="1" applyBorder="1" applyAlignment="1">
      <alignment wrapText="1"/>
    </xf>
    <xf numFmtId="0" fontId="19" fillId="4" borderId="1" xfId="0" applyFont="1" applyFill="1" applyBorder="1" applyAlignment="1">
      <alignment wrapText="1"/>
    </xf>
    <xf numFmtId="0" fontId="20" fillId="8" borderId="1" xfId="0" applyFont="1" applyFill="1" applyBorder="1" applyAlignment="1"/>
    <xf numFmtId="0" fontId="9" fillId="8" borderId="1" xfId="0" applyFont="1" applyFill="1" applyBorder="1" applyAlignment="1"/>
    <xf numFmtId="0" fontId="8" fillId="8" borderId="1" xfId="0" applyFont="1" applyFill="1" applyBorder="1" applyAlignment="1"/>
    <xf numFmtId="0" fontId="21" fillId="8" borderId="1" xfId="0" applyFont="1" applyFill="1" applyBorder="1" applyAlignment="1"/>
    <xf numFmtId="0" fontId="8" fillId="8" borderId="1" xfId="0" applyFont="1" applyFill="1" applyBorder="1" applyAlignment="1">
      <alignment wrapText="1"/>
    </xf>
    <xf numFmtId="0" fontId="22" fillId="8" borderId="1" xfId="0" applyFont="1" applyFill="1" applyBorder="1" applyAlignment="1">
      <alignment horizontal="center"/>
    </xf>
    <xf numFmtId="0" fontId="9" fillId="8" borderId="0" xfId="0" applyFont="1" applyFill="1" applyAlignment="1">
      <alignment wrapText="1"/>
    </xf>
    <xf numFmtId="0" fontId="8" fillId="8" borderId="1" xfId="0" applyFont="1" applyFill="1" applyBorder="1" applyAlignment="1"/>
    <xf numFmtId="0" fontId="19" fillId="8" borderId="1" xfId="0" applyFont="1" applyFill="1" applyBorder="1" applyAlignment="1">
      <alignment wrapText="1"/>
    </xf>
    <xf numFmtId="0" fontId="23" fillId="5" borderId="1" xfId="0" applyFont="1" applyFill="1" applyBorder="1" applyAlignment="1"/>
    <xf numFmtId="0" fontId="8" fillId="8" borderId="1" xfId="0" applyFont="1" applyFill="1" applyBorder="1" applyAlignment="1"/>
    <xf numFmtId="0" fontId="8" fillId="8" borderId="1" xfId="0" applyFont="1" applyFill="1" applyBorder="1" applyAlignment="1"/>
    <xf numFmtId="0" fontId="24" fillId="6" borderId="1" xfId="0" applyFont="1" applyFill="1" applyBorder="1" applyAlignment="1">
      <alignment wrapText="1"/>
    </xf>
    <xf numFmtId="0" fontId="17" fillId="9" borderId="1" xfId="0" applyFont="1" applyFill="1" applyBorder="1" applyAlignment="1"/>
    <xf numFmtId="165" fontId="8" fillId="10" borderId="1" xfId="0" applyNumberFormat="1" applyFont="1" applyFill="1" applyBorder="1" applyAlignment="1">
      <alignment horizontal="left"/>
    </xf>
    <xf numFmtId="0" fontId="8" fillId="10" borderId="1" xfId="0" applyFont="1" applyFill="1" applyBorder="1" applyAlignment="1"/>
    <xf numFmtId="0" fontId="8" fillId="10" borderId="1" xfId="0" applyFont="1" applyFill="1" applyBorder="1" applyAlignment="1">
      <alignment horizontal="center"/>
    </xf>
    <xf numFmtId="0" fontId="8" fillId="10" borderId="1" xfId="0" applyFont="1" applyFill="1" applyBorder="1" applyAlignment="1"/>
    <xf numFmtId="0" fontId="8" fillId="10" borderId="1" xfId="0" applyFont="1" applyFill="1" applyBorder="1" applyAlignment="1">
      <alignment wrapText="1"/>
    </xf>
    <xf numFmtId="165" fontId="8" fillId="11" borderId="1" xfId="0" applyNumberFormat="1" applyFont="1" applyFill="1" applyBorder="1" applyAlignment="1">
      <alignment horizontal="left"/>
    </xf>
    <xf numFmtId="0" fontId="8" fillId="11" borderId="1" xfId="0" applyFont="1" applyFill="1" applyBorder="1" applyAlignment="1"/>
    <xf numFmtId="0" fontId="8" fillId="11" borderId="1" xfId="0" applyFont="1" applyFill="1" applyBorder="1" applyAlignment="1"/>
    <xf numFmtId="0" fontId="8" fillId="11" borderId="1" xfId="0" applyFont="1" applyFill="1" applyBorder="1" applyAlignment="1">
      <alignment horizontal="center"/>
    </xf>
    <xf numFmtId="0" fontId="25" fillId="8" borderId="1" xfId="0" applyFont="1" applyFill="1" applyBorder="1" applyAlignment="1">
      <alignment wrapText="1"/>
    </xf>
    <xf numFmtId="0" fontId="8" fillId="11" borderId="1" xfId="0" applyFont="1" applyFill="1" applyBorder="1" applyAlignment="1">
      <alignment wrapText="1"/>
    </xf>
    <xf numFmtId="0" fontId="26" fillId="11" borderId="1" xfId="0" applyFont="1" applyFill="1" applyBorder="1" applyAlignment="1"/>
    <xf numFmtId="0" fontId="8" fillId="11" borderId="1" xfId="0" applyFont="1" applyFill="1" applyBorder="1" applyAlignment="1">
      <alignment wrapText="1"/>
    </xf>
    <xf numFmtId="0" fontId="18" fillId="8" borderId="1" xfId="0" applyFont="1" applyFill="1" applyBorder="1" applyAlignment="1">
      <alignment wrapText="1"/>
    </xf>
    <xf numFmtId="0" fontId="27" fillId="11" borderId="1" xfId="0" applyFont="1" applyFill="1" applyBorder="1" applyAlignment="1"/>
    <xf numFmtId="0" fontId="8" fillId="11" borderId="1" xfId="0" applyFont="1" applyFill="1" applyBorder="1" applyAlignment="1">
      <alignment horizontal="center"/>
    </xf>
    <xf numFmtId="0" fontId="8" fillId="11" borderId="1" xfId="0" applyFont="1" applyFill="1" applyBorder="1" applyAlignment="1">
      <alignment horizontal="center"/>
    </xf>
    <xf numFmtId="0" fontId="28" fillId="8" borderId="1" xfId="0" applyFont="1" applyFill="1" applyBorder="1" applyAlignment="1">
      <alignment wrapText="1"/>
    </xf>
    <xf numFmtId="0" fontId="8" fillId="4" borderId="1" xfId="0" applyFont="1" applyFill="1" applyBorder="1" applyAlignment="1"/>
    <xf numFmtId="0" fontId="8" fillId="11" borderId="1" xfId="0" applyFont="1" applyFill="1" applyBorder="1" applyAlignment="1">
      <alignment wrapText="1"/>
    </xf>
    <xf numFmtId="0" fontId="29" fillId="11" borderId="1" xfId="0" applyFont="1" applyFill="1" applyBorder="1" applyAlignment="1">
      <alignment horizontal="center"/>
    </xf>
    <xf numFmtId="0" fontId="8" fillId="11" borderId="1" xfId="0" applyFont="1" applyFill="1" applyBorder="1" applyAlignment="1">
      <alignment wrapText="1"/>
    </xf>
    <xf numFmtId="0" fontId="9" fillId="11" borderId="1" xfId="0" applyFont="1" applyFill="1" applyBorder="1" applyAlignment="1"/>
    <xf numFmtId="0" fontId="23" fillId="11" borderId="1" xfId="0" applyFont="1" applyFill="1" applyBorder="1" applyAlignment="1">
      <alignment wrapText="1"/>
    </xf>
    <xf numFmtId="0" fontId="8" fillId="11" borderId="1" xfId="0" applyFont="1" applyFill="1" applyBorder="1" applyAlignment="1"/>
    <xf numFmtId="0" fontId="9" fillId="11" borderId="0" xfId="0" applyFont="1" applyFill="1" applyAlignment="1">
      <alignment wrapText="1"/>
    </xf>
    <xf numFmtId="0" fontId="8" fillId="11" borderId="1" xfId="0" applyFont="1" applyFill="1" applyBorder="1" applyAlignment="1"/>
    <xf numFmtId="0" fontId="19" fillId="11" borderId="1" xfId="0" applyFont="1" applyFill="1" applyBorder="1" applyAlignment="1">
      <alignment wrapText="1"/>
    </xf>
    <xf numFmtId="165" fontId="8" fillId="11" borderId="1" xfId="0" applyNumberFormat="1" applyFont="1" applyFill="1" applyBorder="1" applyAlignment="1">
      <alignment horizontal="left"/>
    </xf>
    <xf numFmtId="0" fontId="8" fillId="11" borderId="1" xfId="0" applyFont="1" applyFill="1" applyBorder="1" applyAlignment="1">
      <alignment horizontal="left" wrapText="1"/>
    </xf>
    <xf numFmtId="0" fontId="3" fillId="11" borderId="0" xfId="0" applyFont="1" applyFill="1" applyAlignment="1">
      <alignment wrapText="1"/>
    </xf>
    <xf numFmtId="0" fontId="8" fillId="11" borderId="1" xfId="0" applyFont="1" applyFill="1" applyBorder="1" applyAlignment="1">
      <alignment horizontal="center"/>
    </xf>
    <xf numFmtId="165" fontId="8" fillId="10" borderId="1" xfId="0" applyNumberFormat="1" applyFont="1" applyFill="1" applyBorder="1" applyAlignment="1">
      <alignment horizontal="left"/>
    </xf>
    <xf numFmtId="0" fontId="8" fillId="10" borderId="1" xfId="0" applyFont="1" applyFill="1" applyBorder="1" applyAlignment="1">
      <alignment wrapText="1"/>
    </xf>
    <xf numFmtId="0" fontId="30" fillId="10" borderId="1" xfId="0" applyFont="1" applyFill="1" applyBorder="1" applyAlignment="1"/>
    <xf numFmtId="0" fontId="3" fillId="10" borderId="0" xfId="0" applyFont="1" applyFill="1" applyAlignment="1">
      <alignment wrapText="1"/>
    </xf>
    <xf numFmtId="0" fontId="8" fillId="10" borderId="1" xfId="0" applyFont="1" applyFill="1" applyBorder="1" applyAlignment="1">
      <alignment horizontal="center"/>
    </xf>
    <xf numFmtId="0" fontId="18" fillId="11" borderId="1" xfId="0" applyFont="1" applyFill="1" applyBorder="1" applyAlignment="1">
      <alignment wrapText="1"/>
    </xf>
    <xf numFmtId="3" fontId="18" fillId="11" borderId="1" xfId="0" applyNumberFormat="1" applyFont="1" applyFill="1" applyBorder="1" applyAlignment="1">
      <alignment wrapText="1"/>
    </xf>
    <xf numFmtId="0" fontId="31" fillId="5" borderId="1" xfId="0" applyFont="1" applyFill="1" applyBorder="1" applyAlignment="1"/>
    <xf numFmtId="0" fontId="17" fillId="12" borderId="1" xfId="0" applyFont="1" applyFill="1" applyBorder="1" applyAlignment="1"/>
    <xf numFmtId="0" fontId="8" fillId="4" borderId="1" xfId="0" applyFont="1" applyFill="1" applyBorder="1" applyAlignment="1">
      <alignment wrapText="1"/>
    </xf>
    <xf numFmtId="0" fontId="7" fillId="4" borderId="0" xfId="0" applyFont="1" applyFill="1" applyAlignment="1">
      <alignment wrapText="1"/>
    </xf>
    <xf numFmtId="0" fontId="28" fillId="11" borderId="1" xfId="0" applyFont="1" applyFill="1" applyBorder="1" applyAlignment="1">
      <alignment wrapText="1"/>
    </xf>
    <xf numFmtId="3" fontId="8" fillId="4" borderId="1" xfId="0" applyNumberFormat="1" applyFont="1" applyFill="1" applyBorder="1" applyAlignment="1">
      <alignment wrapText="1"/>
    </xf>
    <xf numFmtId="0" fontId="32" fillId="0" borderId="0" xfId="0" applyFont="1" applyAlignment="1">
      <alignment wrapText="1"/>
    </xf>
    <xf numFmtId="4" fontId="18" fillId="11" borderId="1" xfId="0" applyNumberFormat="1" applyFont="1" applyFill="1" applyBorder="1" applyAlignment="1">
      <alignment wrapText="1"/>
    </xf>
    <xf numFmtId="0" fontId="8" fillId="13" borderId="1" xfId="0" applyFont="1" applyFill="1" applyBorder="1" applyAlignment="1"/>
    <xf numFmtId="3" fontId="33" fillId="4" borderId="1" xfId="0" applyNumberFormat="1" applyFont="1" applyFill="1" applyBorder="1" applyAlignment="1">
      <alignment wrapText="1"/>
    </xf>
    <xf numFmtId="165" fontId="8" fillId="14" borderId="1" xfId="0" applyNumberFormat="1" applyFont="1" applyFill="1" applyBorder="1" applyAlignment="1">
      <alignment horizontal="left"/>
    </xf>
    <xf numFmtId="0" fontId="8" fillId="14" borderId="1" xfId="0" applyFont="1" applyFill="1" applyBorder="1" applyAlignment="1"/>
    <xf numFmtId="0" fontId="8" fillId="14" borderId="1" xfId="0" applyFont="1" applyFill="1" applyBorder="1" applyAlignment="1"/>
    <xf numFmtId="0" fontId="8" fillId="14" borderId="1" xfId="0" applyFont="1" applyFill="1" applyBorder="1" applyAlignment="1">
      <alignment horizontal="center"/>
    </xf>
    <xf numFmtId="0" fontId="8" fillId="14" borderId="1" xfId="0" applyFont="1" applyFill="1" applyBorder="1" applyAlignment="1">
      <alignment wrapText="1"/>
    </xf>
    <xf numFmtId="0" fontId="8" fillId="14" borderId="1" xfId="0" applyFont="1" applyFill="1" applyBorder="1" applyAlignment="1">
      <alignment wrapText="1"/>
    </xf>
    <xf numFmtId="0" fontId="34" fillId="10" borderId="1" xfId="0" applyFont="1" applyFill="1" applyBorder="1" applyAlignment="1"/>
    <xf numFmtId="0" fontId="35" fillId="14" borderId="1" xfId="0" applyFont="1" applyFill="1" applyBorder="1" applyAlignment="1"/>
    <xf numFmtId="0" fontId="8" fillId="0" borderId="1" xfId="0" applyFont="1" applyBorder="1" applyAlignment="1"/>
    <xf numFmtId="0" fontId="8" fillId="0" borderId="1" xfId="0" applyFont="1" applyBorder="1" applyAlignment="1"/>
    <xf numFmtId="0" fontId="8" fillId="0" borderId="1" xfId="0" applyFont="1" applyBorder="1" applyAlignment="1"/>
    <xf numFmtId="0" fontId="36" fillId="0" borderId="1" xfId="0" applyFont="1" applyBorder="1" applyAlignment="1"/>
    <xf numFmtId="0" fontId="37" fillId="0" borderId="1" xfId="0" applyFont="1" applyBorder="1" applyAlignment="1">
      <alignment horizontal="center"/>
    </xf>
    <xf numFmtId="0" fontId="8" fillId="0" borderId="1" xfId="0" applyFont="1" applyBorder="1" applyAlignment="1">
      <alignment wrapText="1"/>
    </xf>
    <xf numFmtId="165" fontId="8" fillId="15" borderId="1" xfId="0" applyNumberFormat="1" applyFont="1" applyFill="1" applyBorder="1" applyAlignment="1">
      <alignment horizontal="left"/>
    </xf>
    <xf numFmtId="0" fontId="9" fillId="15" borderId="1" xfId="0" applyFont="1" applyFill="1" applyBorder="1" applyAlignment="1"/>
    <xf numFmtId="0" fontId="8" fillId="15" borderId="1" xfId="0" applyFont="1" applyFill="1" applyBorder="1" applyAlignment="1"/>
    <xf numFmtId="0" fontId="8" fillId="15" borderId="1" xfId="0" applyFont="1" applyFill="1" applyBorder="1" applyAlignment="1">
      <alignment horizontal="center"/>
    </xf>
    <xf numFmtId="0" fontId="8" fillId="15" borderId="1" xfId="0" applyFont="1" applyFill="1" applyBorder="1" applyAlignment="1"/>
    <xf numFmtId="0" fontId="38" fillId="0" borderId="0" xfId="0" applyFont="1" applyAlignment="1">
      <alignment wrapText="1"/>
    </xf>
    <xf numFmtId="0" fontId="39" fillId="15" borderId="1" xfId="0" applyFont="1" applyFill="1" applyBorder="1" applyAlignment="1"/>
    <xf numFmtId="0" fontId="40" fillId="15" borderId="1" xfId="0" applyFont="1" applyFill="1" applyBorder="1" applyAlignment="1"/>
    <xf numFmtId="0" fontId="8" fillId="15" borderId="1" xfId="0" applyFont="1" applyFill="1" applyBorder="1" applyAlignment="1"/>
    <xf numFmtId="0" fontId="8" fillId="4" borderId="1" xfId="0" applyFont="1" applyFill="1" applyBorder="1" applyAlignment="1">
      <alignment horizontal="center"/>
    </xf>
    <xf numFmtId="0" fontId="41" fillId="15" borderId="1" xfId="0" applyFont="1" applyFill="1" applyBorder="1" applyAlignment="1">
      <alignment horizontal="center"/>
    </xf>
    <xf numFmtId="0" fontId="8" fillId="15" borderId="1" xfId="0" applyFont="1" applyFill="1" applyBorder="1" applyAlignment="1">
      <alignment wrapText="1"/>
    </xf>
    <xf numFmtId="0" fontId="9" fillId="15" borderId="0" xfId="0" applyFont="1" applyFill="1" applyAlignment="1">
      <alignment wrapText="1"/>
    </xf>
    <xf numFmtId="0" fontId="8" fillId="4" borderId="1" xfId="0" applyFont="1" applyFill="1" applyBorder="1" applyAlignment="1"/>
    <xf numFmtId="0" fontId="8" fillId="15" borderId="1" xfId="0" applyFont="1" applyFill="1" applyBorder="1" applyAlignment="1">
      <alignment horizontal="left"/>
    </xf>
    <xf numFmtId="0" fontId="8" fillId="16" borderId="1" xfId="0" applyFont="1" applyFill="1" applyBorder="1" applyAlignment="1"/>
    <xf numFmtId="0" fontId="8" fillId="17" borderId="1" xfId="0" applyFont="1" applyFill="1" applyBorder="1" applyAlignment="1"/>
    <xf numFmtId="0" fontId="42" fillId="0" borderId="0" xfId="0" applyFont="1" applyAlignment="1">
      <alignment wrapText="1"/>
    </xf>
    <xf numFmtId="0" fontId="43" fillId="4" borderId="0" xfId="0" applyFont="1" applyFill="1" applyAlignment="1">
      <alignment wrapText="1"/>
    </xf>
    <xf numFmtId="0" fontId="43" fillId="5" borderId="1" xfId="0" applyFont="1" applyFill="1" applyBorder="1" applyAlignment="1"/>
    <xf numFmtId="0" fontId="28" fillId="4" borderId="1" xfId="0" applyFont="1" applyFill="1" applyBorder="1" applyAlignment="1">
      <alignment wrapText="1"/>
    </xf>
    <xf numFmtId="0" fontId="43" fillId="18" borderId="2" xfId="0" applyFont="1" applyFill="1" applyBorder="1" applyAlignment="1"/>
    <xf numFmtId="3" fontId="19" fillId="4" borderId="1" xfId="0" applyNumberFormat="1" applyFont="1" applyFill="1" applyBorder="1" applyAlignment="1">
      <alignment wrapText="1"/>
    </xf>
    <xf numFmtId="0" fontId="43" fillId="5" borderId="2" xfId="0" applyFont="1" applyFill="1" applyBorder="1" applyAlignment="1"/>
    <xf numFmtId="0" fontId="44" fillId="4" borderId="1" xfId="0" applyFont="1" applyFill="1" applyBorder="1" applyAlignment="1">
      <alignment wrapText="1"/>
    </xf>
    <xf numFmtId="0" fontId="45" fillId="14" borderId="1" xfId="0" applyFont="1" applyFill="1" applyBorder="1" applyAlignment="1"/>
    <xf numFmtId="0" fontId="46" fillId="14" borderId="1" xfId="0" applyFont="1" applyFill="1" applyBorder="1" applyAlignment="1">
      <alignment horizontal="center"/>
    </xf>
    <xf numFmtId="0" fontId="44" fillId="14" borderId="1" xfId="0" applyFont="1" applyFill="1" applyBorder="1" applyAlignment="1">
      <alignment wrapText="1"/>
    </xf>
    <xf numFmtId="0" fontId="8" fillId="8" borderId="1" xfId="0" applyFont="1" applyFill="1" applyBorder="1" applyAlignment="1">
      <alignment wrapText="1"/>
    </xf>
    <xf numFmtId="0" fontId="23" fillId="4" borderId="1" xfId="0" applyFont="1" applyFill="1" applyBorder="1" applyAlignment="1">
      <alignment wrapText="1"/>
    </xf>
    <xf numFmtId="0" fontId="8" fillId="8" borderId="1" xfId="0" applyFont="1" applyFill="1" applyBorder="1" applyAlignment="1">
      <alignment wrapText="1"/>
    </xf>
    <xf numFmtId="0" fontId="44" fillId="4" borderId="1" xfId="0" applyFont="1" applyFill="1" applyBorder="1" applyAlignment="1">
      <alignment wrapText="1"/>
    </xf>
    <xf numFmtId="0" fontId="3" fillId="4" borderId="0" xfId="0" applyFont="1" applyFill="1" applyAlignment="1">
      <alignment wrapText="1"/>
    </xf>
    <xf numFmtId="0" fontId="8" fillId="4" borderId="1" xfId="0" applyFont="1" applyFill="1" applyBorder="1" applyAlignment="1">
      <alignment horizontal="center"/>
    </xf>
    <xf numFmtId="0" fontId="47" fillId="19" borderId="0" xfId="0" applyFont="1" applyFill="1" applyAlignment="1">
      <alignment wrapText="1"/>
    </xf>
    <xf numFmtId="0" fontId="3" fillId="8" borderId="0" xfId="0" applyFont="1" applyFill="1" applyAlignment="1">
      <alignment wrapText="1"/>
    </xf>
    <xf numFmtId="0" fontId="8" fillId="8" borderId="1" xfId="0" applyFont="1" applyFill="1" applyBorder="1" applyAlignment="1">
      <alignment horizontal="left"/>
    </xf>
    <xf numFmtId="0" fontId="8" fillId="0" borderId="1" xfId="0" applyFont="1" applyBorder="1" applyAlignment="1">
      <alignment wrapText="1"/>
    </xf>
    <xf numFmtId="0" fontId="23" fillId="8" borderId="1" xfId="0" applyFont="1" applyFill="1" applyBorder="1" applyAlignment="1">
      <alignment wrapText="1"/>
    </xf>
    <xf numFmtId="0" fontId="44" fillId="8" borderId="1" xfId="0" applyFont="1" applyFill="1" applyBorder="1" applyAlignment="1">
      <alignment wrapText="1"/>
    </xf>
    <xf numFmtId="0" fontId="23" fillId="8" borderId="1" xfId="0" applyFont="1" applyFill="1" applyBorder="1" applyAlignment="1"/>
    <xf numFmtId="0" fontId="48" fillId="0" borderId="0" xfId="0" applyFont="1" applyAlignment="1">
      <alignment wrapText="1"/>
    </xf>
    <xf numFmtId="0" fontId="2" fillId="2" borderId="1" xfId="0" applyFont="1" applyFill="1" applyBorder="1" applyAlignment="1">
      <alignment horizontal="left"/>
    </xf>
    <xf numFmtId="0" fontId="8" fillId="8" borderId="0" xfId="0" applyFont="1" applyFill="1" applyAlignment="1">
      <alignment horizontal="left" wrapText="1"/>
    </xf>
    <xf numFmtId="0" fontId="43" fillId="5" borderId="2" xfId="0" applyFont="1" applyFill="1" applyBorder="1" applyAlignment="1"/>
    <xf numFmtId="3" fontId="8" fillId="8" borderId="1" xfId="0" applyNumberFormat="1" applyFont="1" applyFill="1" applyBorder="1" applyAlignment="1">
      <alignment wrapText="1"/>
    </xf>
    <xf numFmtId="0" fontId="8" fillId="4" borderId="0" xfId="0" applyFont="1" applyFill="1" applyAlignment="1">
      <alignment wrapText="1"/>
    </xf>
    <xf numFmtId="165" fontId="8" fillId="14" borderId="1" xfId="0" applyNumberFormat="1" applyFont="1" applyFill="1" applyBorder="1" applyAlignment="1">
      <alignment horizontal="left"/>
    </xf>
    <xf numFmtId="0" fontId="9" fillId="14" borderId="1" xfId="0" applyFont="1" applyFill="1" applyBorder="1" applyAlignment="1"/>
    <xf numFmtId="0" fontId="43" fillId="20" borderId="1" xfId="0" applyFont="1" applyFill="1" applyBorder="1" applyAlignment="1"/>
    <xf numFmtId="0" fontId="8" fillId="14" borderId="1" xfId="0" applyFont="1" applyFill="1" applyBorder="1" applyAlignment="1">
      <alignment horizontal="center"/>
    </xf>
    <xf numFmtId="0" fontId="8" fillId="14" borderId="0" xfId="0" applyFont="1" applyFill="1" applyAlignment="1">
      <alignment wrapText="1"/>
    </xf>
    <xf numFmtId="0" fontId="43" fillId="20" borderId="2" xfId="0" applyFont="1" applyFill="1" applyBorder="1" applyAlignment="1"/>
    <xf numFmtId="0" fontId="24" fillId="0" borderId="1" xfId="0" applyFont="1" applyBorder="1" applyAlignment="1">
      <alignment wrapText="1"/>
    </xf>
    <xf numFmtId="0" fontId="8" fillId="8" borderId="0" xfId="0" applyFont="1" applyFill="1" applyAlignment="1">
      <alignment wrapText="1"/>
    </xf>
    <xf numFmtId="0" fontId="9" fillId="8" borderId="0" xfId="0" applyFont="1" applyFill="1" applyAlignment="1">
      <alignment horizontal="left" wrapText="1"/>
    </xf>
    <xf numFmtId="0" fontId="8" fillId="8" borderId="1" xfId="0" applyFont="1" applyFill="1" applyBorder="1" applyAlignment="1">
      <alignment horizontal="center"/>
    </xf>
    <xf numFmtId="0" fontId="49" fillId="2" borderId="0" xfId="0" applyFont="1" applyFill="1" applyAlignment="1">
      <alignment horizontal="left"/>
    </xf>
    <xf numFmtId="0" fontId="23" fillId="19" borderId="1" xfId="0" applyFont="1" applyFill="1" applyBorder="1" applyAlignment="1"/>
    <xf numFmtId="0" fontId="49" fillId="2" borderId="1" xfId="0" applyFont="1" applyFill="1" applyBorder="1" applyAlignment="1">
      <alignment horizontal="left"/>
    </xf>
    <xf numFmtId="0" fontId="8" fillId="19" borderId="1" xfId="0" applyFont="1" applyFill="1" applyBorder="1" applyAlignment="1"/>
    <xf numFmtId="0" fontId="49" fillId="2" borderId="1" xfId="0" applyFont="1" applyFill="1" applyBorder="1" applyAlignment="1"/>
    <xf numFmtId="0" fontId="8" fillId="19" borderId="1" xfId="0" applyFont="1" applyFill="1" applyBorder="1" applyAlignment="1"/>
    <xf numFmtId="0" fontId="49" fillId="2" borderId="1" xfId="0" applyFont="1" applyFill="1" applyBorder="1" applyAlignment="1">
      <alignment wrapText="1"/>
    </xf>
    <xf numFmtId="0" fontId="50" fillId="19" borderId="1" xfId="0" applyFont="1" applyFill="1" applyBorder="1" applyAlignment="1"/>
    <xf numFmtId="0" fontId="8" fillId="19" borderId="1" xfId="0" applyFont="1" applyFill="1" applyBorder="1" applyAlignment="1"/>
    <xf numFmtId="0" fontId="51" fillId="19" borderId="1" xfId="0" applyFont="1" applyFill="1" applyBorder="1" applyAlignment="1"/>
    <xf numFmtId="0" fontId="52" fillId="19" borderId="1" xfId="0" applyFont="1" applyFill="1" applyBorder="1" applyAlignment="1">
      <alignment horizontal="center"/>
    </xf>
    <xf numFmtId="0" fontId="8" fillId="19" borderId="1" xfId="0" applyFont="1" applyFill="1" applyBorder="1" applyAlignment="1">
      <alignment wrapText="1"/>
    </xf>
    <xf numFmtId="0" fontId="53" fillId="5" borderId="1" xfId="0" applyFont="1" applyFill="1" applyBorder="1" applyAlignment="1"/>
    <xf numFmtId="0" fontId="43" fillId="8" borderId="2" xfId="0" applyFont="1" applyFill="1" applyBorder="1" applyAlignment="1"/>
    <xf numFmtId="0" fontId="8" fillId="19" borderId="1" xfId="0" applyFont="1" applyFill="1" applyBorder="1" applyAlignment="1">
      <alignment horizontal="center"/>
    </xf>
    <xf numFmtId="0" fontId="8" fillId="19" borderId="1" xfId="0" applyFont="1" applyFill="1" applyBorder="1" applyAlignment="1">
      <alignment wrapText="1"/>
    </xf>
    <xf numFmtId="0" fontId="23" fillId="19" borderId="1" xfId="0" applyFont="1" applyFill="1" applyBorder="1" applyAlignment="1">
      <alignment wrapText="1"/>
    </xf>
    <xf numFmtId="0" fontId="8" fillId="8" borderId="1" xfId="0" applyFont="1" applyFill="1" applyBorder="1" applyAlignment="1"/>
    <xf numFmtId="0" fontId="8" fillId="14" borderId="1" xfId="0" applyFont="1" applyFill="1" applyBorder="1" applyAlignment="1"/>
    <xf numFmtId="0" fontId="8" fillId="8" borderId="1" xfId="0" applyFont="1" applyFill="1" applyBorder="1" applyAlignment="1"/>
    <xf numFmtId="0" fontId="8" fillId="14" borderId="1" xfId="0" applyFont="1" applyFill="1" applyBorder="1" applyAlignment="1">
      <alignment horizontal="center"/>
    </xf>
    <xf numFmtId="0" fontId="54" fillId="8" borderId="0" xfId="0" applyFont="1" applyFill="1" applyAlignment="1">
      <alignment wrapText="1"/>
    </xf>
    <xf numFmtId="0" fontId="8" fillId="8" borderId="1" xfId="0" applyFont="1" applyFill="1" applyBorder="1" applyAlignment="1">
      <alignment horizontal="left" wrapText="1"/>
    </xf>
    <xf numFmtId="0" fontId="43" fillId="5" borderId="1" xfId="0" applyFont="1" applyFill="1" applyBorder="1" applyAlignment="1"/>
    <xf numFmtId="165" fontId="8" fillId="8" borderId="1" xfId="0" applyNumberFormat="1" applyFont="1" applyFill="1" applyBorder="1" applyAlignment="1">
      <alignment horizontal="left"/>
    </xf>
    <xf numFmtId="0" fontId="43" fillId="21" borderId="1" xfId="0" applyFont="1" applyFill="1" applyBorder="1" applyAlignment="1"/>
    <xf numFmtId="0" fontId="8" fillId="22" borderId="1" xfId="0" applyFont="1" applyFill="1" applyBorder="1" applyAlignment="1"/>
    <xf numFmtId="0" fontId="9" fillId="8" borderId="1" xfId="0" applyFont="1" applyFill="1" applyBorder="1" applyAlignment="1">
      <alignment horizontal="left" wrapText="1"/>
    </xf>
    <xf numFmtId="0" fontId="43" fillId="21" borderId="2" xfId="0" applyFont="1" applyFill="1" applyBorder="1" applyAlignment="1"/>
    <xf numFmtId="0" fontId="8" fillId="14" borderId="1" xfId="0" applyFont="1" applyFill="1" applyBorder="1" applyAlignment="1">
      <alignment horizontal="left"/>
    </xf>
    <xf numFmtId="0" fontId="17" fillId="8" borderId="1" xfId="0" applyFont="1" applyFill="1" applyBorder="1" applyAlignment="1"/>
    <xf numFmtId="0" fontId="19" fillId="14" borderId="1" xfId="0" applyFont="1" applyFill="1" applyBorder="1" applyAlignment="1">
      <alignment wrapText="1"/>
    </xf>
    <xf numFmtId="0" fontId="3" fillId="14" borderId="0" xfId="0" applyFont="1" applyFill="1" applyAlignment="1">
      <alignment wrapText="1"/>
    </xf>
    <xf numFmtId="165" fontId="8" fillId="23" borderId="1" xfId="0" applyNumberFormat="1" applyFont="1" applyFill="1" applyBorder="1" applyAlignment="1">
      <alignment horizontal="left"/>
    </xf>
    <xf numFmtId="0" fontId="43" fillId="8" borderId="0" xfId="0" applyFont="1" applyFill="1" applyAlignment="1">
      <alignment horizontal="left" wrapText="1"/>
    </xf>
    <xf numFmtId="0" fontId="8" fillId="23" borderId="1" xfId="0" applyFont="1" applyFill="1" applyBorder="1" applyAlignment="1"/>
    <xf numFmtId="0" fontId="8" fillId="23" borderId="1" xfId="0" applyFont="1" applyFill="1" applyBorder="1" applyAlignment="1">
      <alignment horizontal="center"/>
    </xf>
    <xf numFmtId="0" fontId="8" fillId="23" borderId="1" xfId="0" applyFont="1" applyFill="1" applyBorder="1" applyAlignment="1">
      <alignment horizontal="center"/>
    </xf>
    <xf numFmtId="0" fontId="8" fillId="23" borderId="1" xfId="0" applyFont="1" applyFill="1" applyBorder="1" applyAlignment="1">
      <alignment wrapText="1"/>
    </xf>
    <xf numFmtId="0" fontId="8" fillId="23" borderId="1" xfId="0" applyFont="1" applyFill="1" applyBorder="1" applyAlignment="1"/>
    <xf numFmtId="0" fontId="8" fillId="23" borderId="1" xfId="0" applyFont="1" applyFill="1" applyBorder="1" applyAlignment="1"/>
    <xf numFmtId="3" fontId="19" fillId="14" borderId="1" xfId="0" applyNumberFormat="1" applyFont="1" applyFill="1" applyBorder="1" applyAlignment="1">
      <alignment wrapText="1"/>
    </xf>
    <xf numFmtId="0" fontId="55" fillId="23" borderId="1" xfId="0" applyFont="1" applyFill="1" applyBorder="1" applyAlignment="1"/>
    <xf numFmtId="0" fontId="56" fillId="23" borderId="1" xfId="0" applyFont="1" applyFill="1" applyBorder="1" applyAlignment="1"/>
    <xf numFmtId="0" fontId="57" fillId="23" borderId="1" xfId="0" applyFont="1" applyFill="1" applyBorder="1" applyAlignment="1">
      <alignment horizontal="center"/>
    </xf>
    <xf numFmtId="0" fontId="8" fillId="23" borderId="1" xfId="0" applyFont="1" applyFill="1" applyBorder="1" applyAlignment="1">
      <alignment wrapText="1"/>
    </xf>
    <xf numFmtId="165" fontId="8" fillId="23" borderId="1" xfId="0" applyNumberFormat="1" applyFont="1" applyFill="1" applyBorder="1" applyAlignment="1">
      <alignment horizontal="left"/>
    </xf>
    <xf numFmtId="3" fontId="8" fillId="14" borderId="1" xfId="0" applyNumberFormat="1" applyFont="1" applyFill="1" applyBorder="1" applyAlignment="1">
      <alignment wrapText="1"/>
    </xf>
    <xf numFmtId="0" fontId="8" fillId="23" borderId="1" xfId="0" applyFont="1" applyFill="1" applyBorder="1" applyAlignment="1"/>
    <xf numFmtId="0" fontId="8" fillId="8" borderId="0" xfId="0" applyFont="1" applyFill="1" applyAlignment="1">
      <alignment horizontal="left" wrapText="1"/>
    </xf>
    <xf numFmtId="0" fontId="3" fillId="14" borderId="0" xfId="0" applyFont="1" applyFill="1" applyAlignment="1">
      <alignment wrapText="1"/>
    </xf>
    <xf numFmtId="0" fontId="8" fillId="14" borderId="1" xfId="0" applyFont="1" applyFill="1" applyBorder="1" applyAlignment="1"/>
    <xf numFmtId="0" fontId="23" fillId="4" borderId="1" xfId="0" applyFont="1" applyFill="1" applyBorder="1" applyAlignment="1"/>
    <xf numFmtId="0" fontId="8" fillId="5" borderId="1" xfId="0" applyFont="1" applyFill="1" applyBorder="1" applyAlignment="1">
      <alignment wrapText="1"/>
    </xf>
    <xf numFmtId="0" fontId="58" fillId="0" borderId="0" xfId="0" applyFont="1" applyAlignment="1">
      <alignment wrapText="1"/>
    </xf>
    <xf numFmtId="0" fontId="34" fillId="4" borderId="1" xfId="0" applyFont="1" applyFill="1" applyBorder="1" applyAlignment="1">
      <alignment horizontal="center"/>
    </xf>
    <xf numFmtId="0" fontId="19" fillId="4" borderId="1" xfId="0" applyFont="1" applyFill="1" applyBorder="1" applyAlignment="1">
      <alignment wrapText="1"/>
    </xf>
    <xf numFmtId="0" fontId="28" fillId="23" borderId="1" xfId="0" applyFont="1" applyFill="1" applyBorder="1" applyAlignment="1">
      <alignment wrapText="1"/>
    </xf>
    <xf numFmtId="0" fontId="8" fillId="23" borderId="1" xfId="0" applyFont="1" applyFill="1" applyBorder="1" applyAlignment="1"/>
    <xf numFmtId="0" fontId="8" fillId="23" borderId="1" xfId="0" applyFont="1" applyFill="1" applyBorder="1" applyAlignment="1">
      <alignment horizontal="center"/>
    </xf>
    <xf numFmtId="0" fontId="8" fillId="0" borderId="0" xfId="0" applyFont="1" applyAlignment="1"/>
    <xf numFmtId="0" fontId="8" fillId="0" borderId="0" xfId="0" applyFont="1" applyAlignment="1"/>
    <xf numFmtId="0" fontId="8" fillId="0" borderId="0" xfId="0" applyFont="1" applyAlignment="1">
      <alignment horizontal="center"/>
    </xf>
    <xf numFmtId="0" fontId="8" fillId="0" borderId="0" xfId="0" applyFont="1" applyAlignment="1">
      <alignment wrapText="1"/>
    </xf>
    <xf numFmtId="0" fontId="9" fillId="23" borderId="1" xfId="0" applyFont="1" applyFill="1" applyBorder="1" applyAlignment="1"/>
    <xf numFmtId="0" fontId="3" fillId="0" borderId="0" xfId="0" applyFont="1" applyAlignment="1">
      <alignment horizontal="center" wrapText="1"/>
    </xf>
    <xf numFmtId="0" fontId="8" fillId="23" borderId="1" xfId="0" applyFont="1" applyFill="1" applyBorder="1" applyAlignment="1">
      <alignment horizontal="center"/>
    </xf>
    <xf numFmtId="0" fontId="17" fillId="24" borderId="1" xfId="0" applyFont="1" applyFill="1" applyBorder="1" applyAlignment="1"/>
    <xf numFmtId="0" fontId="59" fillId="0" borderId="0" xfId="0" applyFont="1" applyAlignment="1">
      <alignment wrapText="1"/>
    </xf>
    <xf numFmtId="0" fontId="19" fillId="23" borderId="1" xfId="0" applyFont="1" applyFill="1" applyBorder="1" applyAlignment="1">
      <alignment wrapText="1"/>
    </xf>
    <xf numFmtId="0" fontId="8" fillId="23" borderId="0" xfId="0" applyFont="1" applyFill="1" applyAlignment="1">
      <alignment wrapText="1"/>
    </xf>
    <xf numFmtId="0" fontId="8" fillId="23" borderId="1" xfId="0" quotePrefix="1" applyFont="1" applyFill="1" applyBorder="1" applyAlignment="1">
      <alignment horizontal="left"/>
    </xf>
    <xf numFmtId="0" fontId="23" fillId="23" borderId="1" xfId="0" applyFont="1" applyFill="1" applyBorder="1" applyAlignment="1"/>
    <xf numFmtId="0" fontId="23" fillId="23" borderId="1" xfId="0" applyFont="1" applyFill="1" applyBorder="1" applyAlignment="1">
      <alignment wrapText="1"/>
    </xf>
    <xf numFmtId="0" fontId="8" fillId="23" borderId="1" xfId="0" applyFont="1" applyFill="1" applyBorder="1" applyAlignment="1"/>
    <xf numFmtId="0" fontId="60" fillId="23" borderId="1" xfId="0" applyFont="1" applyFill="1" applyBorder="1" applyAlignment="1"/>
    <xf numFmtId="0" fontId="3" fillId="23" borderId="0" xfId="0" applyFont="1" applyFill="1" applyAlignment="1">
      <alignment wrapText="1"/>
    </xf>
    <xf numFmtId="0" fontId="8" fillId="23" borderId="1" xfId="0" applyFont="1" applyFill="1" applyBorder="1" applyAlignment="1"/>
    <xf numFmtId="0" fontId="61" fillId="23" borderId="1" xfId="0" applyFont="1" applyFill="1" applyBorder="1" applyAlignment="1">
      <alignment wrapText="1"/>
    </xf>
    <xf numFmtId="0" fontId="3" fillId="23" borderId="0" xfId="0" applyFont="1" applyFill="1" applyAlignment="1">
      <alignment wrapText="1"/>
    </xf>
    <xf numFmtId="166" fontId="8" fillId="23" borderId="1" xfId="0" applyNumberFormat="1" applyFont="1" applyFill="1" applyBorder="1" applyAlignment="1">
      <alignment horizontal="left" wrapText="1"/>
    </xf>
    <xf numFmtId="0" fontId="8" fillId="5" borderId="1" xfId="0" applyFont="1" applyFill="1" applyBorder="1" applyAlignment="1">
      <alignment horizontal="center"/>
    </xf>
    <xf numFmtId="0" fontId="8" fillId="23" borderId="0" xfId="0" applyFont="1" applyFill="1" applyAlignment="1">
      <alignment wrapText="1"/>
    </xf>
    <xf numFmtId="0" fontId="8" fillId="5" borderId="1" xfId="0" applyFont="1" applyFill="1" applyBorder="1" applyAlignment="1"/>
    <xf numFmtId="0" fontId="9" fillId="0" borderId="0" xfId="0" applyFont="1" applyAlignment="1"/>
    <xf numFmtId="0" fontId="9" fillId="0" borderId="0" xfId="0" applyFont="1" applyAlignment="1">
      <alignment horizontal="right"/>
    </xf>
    <xf numFmtId="0" fontId="8" fillId="0" borderId="0" xfId="0" applyFont="1" applyAlignment="1"/>
    <xf numFmtId="0" fontId="62" fillId="0" borderId="0" xfId="0" applyFont="1" applyAlignment="1">
      <alignment wrapText="1"/>
    </xf>
    <xf numFmtId="165" fontId="18" fillId="8" borderId="1" xfId="0" applyNumberFormat="1" applyFont="1" applyFill="1" applyBorder="1" applyAlignment="1">
      <alignment horizontal="left"/>
    </xf>
    <xf numFmtId="0" fontId="23" fillId="11" borderId="1" xfId="0" applyFont="1" applyFill="1" applyBorder="1" applyAlignment="1"/>
    <xf numFmtId="0" fontId="63" fillId="11" borderId="1" xfId="0" applyFont="1" applyFill="1" applyBorder="1" applyAlignment="1">
      <alignment wrapText="1"/>
    </xf>
    <xf numFmtId="165" fontId="8" fillId="25" borderId="1" xfId="0" applyNumberFormat="1" applyFont="1" applyFill="1" applyBorder="1" applyAlignment="1">
      <alignment horizontal="left"/>
    </xf>
    <xf numFmtId="0" fontId="8" fillId="25" borderId="1" xfId="0" applyFont="1" applyFill="1" applyBorder="1" applyAlignment="1"/>
    <xf numFmtId="0" fontId="8" fillId="5" borderId="1" xfId="0" applyFont="1" applyFill="1" applyBorder="1" applyAlignment="1">
      <alignment horizontal="center"/>
    </xf>
    <xf numFmtId="0" fontId="2" fillId="2" borderId="1" xfId="0" applyFont="1" applyFill="1" applyBorder="1" applyAlignment="1">
      <alignment horizontal="center"/>
    </xf>
    <xf numFmtId="0" fontId="8" fillId="8" borderId="1" xfId="0" applyFont="1" applyFill="1" applyBorder="1" applyAlignment="1"/>
    <xf numFmtId="0" fontId="64" fillId="8" borderId="1" xfId="0" applyFont="1" applyFill="1" applyBorder="1" applyAlignment="1"/>
    <xf numFmtId="0" fontId="49" fillId="2" borderId="1" xfId="0" applyFont="1" applyFill="1" applyBorder="1" applyAlignment="1">
      <alignment horizontal="center"/>
    </xf>
    <xf numFmtId="0" fontId="23" fillId="10" borderId="1" xfId="0" applyFont="1" applyFill="1" applyBorder="1" applyAlignment="1"/>
    <xf numFmtId="0" fontId="8" fillId="0" borderId="1" xfId="0" applyFont="1" applyBorder="1" applyAlignment="1">
      <alignment horizontal="center"/>
    </xf>
    <xf numFmtId="0" fontId="8" fillId="26" borderId="1" xfId="0" applyFont="1" applyFill="1" applyBorder="1" applyAlignment="1"/>
    <xf numFmtId="165" fontId="8" fillId="25" borderId="1" xfId="0" applyNumberFormat="1" applyFont="1" applyFill="1" applyBorder="1" applyAlignment="1">
      <alignment horizontal="left"/>
    </xf>
    <xf numFmtId="0" fontId="65" fillId="23" borderId="1" xfId="0" applyFont="1" applyFill="1" applyBorder="1" applyAlignment="1"/>
    <xf numFmtId="0" fontId="3" fillId="6" borderId="0" xfId="0" applyFont="1" applyFill="1" applyAlignment="1">
      <alignment wrapText="1"/>
    </xf>
    <xf numFmtId="14" fontId="3" fillId="3" borderId="1" xfId="0" applyNumberFormat="1" applyFont="1" applyFill="1" applyBorder="1" applyAlignment="1">
      <alignment horizontal="left" wrapText="1"/>
    </xf>
    <xf numFmtId="0" fontId="8" fillId="8" borderId="1" xfId="0" applyFont="1" applyFill="1" applyBorder="1" applyAlignment="1">
      <alignment wrapText="1"/>
    </xf>
    <xf numFmtId="14" fontId="3" fillId="3" borderId="1" xfId="0" applyNumberFormat="1" applyFont="1" applyFill="1" applyBorder="1" applyAlignment="1">
      <alignment horizontal="left" wrapText="1"/>
    </xf>
    <xf numFmtId="0" fontId="3" fillId="0" borderId="0" xfId="0" applyFont="1" applyAlignment="1">
      <alignment horizontal="left" wrapText="1"/>
    </xf>
    <xf numFmtId="0" fontId="8" fillId="25" borderId="1" xfId="0" applyFont="1" applyFill="1" applyBorder="1" applyAlignment="1"/>
    <xf numFmtId="0" fontId="8" fillId="25" borderId="1" xfId="0" applyFont="1" applyFill="1" applyBorder="1" applyAlignment="1">
      <alignment horizontal="center"/>
    </xf>
    <xf numFmtId="0" fontId="8" fillId="25" borderId="1" xfId="0" applyFont="1" applyFill="1" applyBorder="1" applyAlignment="1">
      <alignment horizontal="center"/>
    </xf>
    <xf numFmtId="0" fontId="8" fillId="4" borderId="0" xfId="0" applyFont="1" applyFill="1" applyAlignment="1"/>
    <xf numFmtId="0" fontId="8" fillId="2" borderId="1" xfId="0" applyFont="1" applyFill="1" applyBorder="1" applyAlignment="1">
      <alignment horizontal="center"/>
    </xf>
    <xf numFmtId="0" fontId="66" fillId="0" borderId="0" xfId="0" applyFont="1" applyAlignment="1">
      <alignment wrapText="1"/>
    </xf>
    <xf numFmtId="0" fontId="8" fillId="8" borderId="1" xfId="0" applyFont="1" applyFill="1" applyBorder="1" applyAlignment="1">
      <alignment horizontal="left" wrapText="1"/>
    </xf>
    <xf numFmtId="0" fontId="67" fillId="0" borderId="0" xfId="0" applyFont="1" applyAlignment="1">
      <alignment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s://docs.google.com/document/d/1aiD_0XDFjzKs0VIbmQ9Wtq8c6ShCgG07xyUisTw2dvs/edit" TargetMode="External"/><Relationship Id="rId7" Type="http://schemas.openxmlformats.org/officeDocument/2006/relationships/vmlDrawing" Target="../drawings/vmlDrawing3.vml"/><Relationship Id="rId2" Type="http://schemas.openxmlformats.org/officeDocument/2006/relationships/hyperlink" Target="https://docs.google.com/document/d/1aiD_0XDFjzKs0VIbmQ9Wtq8c6ShCgG07xyUisTw2dvs/edit" TargetMode="External"/><Relationship Id="rId1" Type="http://schemas.openxmlformats.org/officeDocument/2006/relationships/hyperlink" Target="https://docs.google.com/document/d/1aiD_0XDFjzKs0VIbmQ9Wtq8c6ShCgG07xyUisTw2dvs/edit" TargetMode="External"/><Relationship Id="rId6" Type="http://schemas.openxmlformats.org/officeDocument/2006/relationships/hyperlink" Target="https://docs.google.com/document/d/1aiD_0XDFjzKs0VIbmQ9Wtq8c6ShCgG07xyUisTw2dvs/edit" TargetMode="External"/><Relationship Id="rId5" Type="http://schemas.openxmlformats.org/officeDocument/2006/relationships/hyperlink" Target="https://docs.google.com/document/d/1aiD_0XDFjzKs0VIbmQ9Wtq8c6ShCgG07xyUisTw2dvs/edit" TargetMode="External"/><Relationship Id="rId4" Type="http://schemas.openxmlformats.org/officeDocument/2006/relationships/hyperlink" Target="https://docs.google.com/document/d/1aiD_0XDFjzKs0VIbmQ9Wtq8c6ShCgG07xyUisTw2dvs/edit"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D83"/>
  <sheetViews>
    <sheetView workbookViewId="0">
      <pane xSplit="5" ySplit="1" topLeftCell="F59" activePane="bottomRight" state="frozen"/>
      <selection pane="topRight" activeCell="F1" sqref="F1"/>
      <selection pane="bottomLeft" activeCell="A2" sqref="A2"/>
      <selection pane="bottomRight" activeCell="J51" sqref="J51"/>
    </sheetView>
  </sheetViews>
  <sheetFormatPr defaultColWidth="17.33203125" defaultRowHeight="15.85" customHeight="1"/>
  <cols>
    <col min="1" max="1" width="3.88671875" customWidth="1"/>
    <col min="2" max="2" width="28" customWidth="1"/>
    <col min="3" max="3" width="28.6640625" customWidth="1"/>
    <col min="4" max="4" width="13.6640625" customWidth="1"/>
    <col min="5" max="5" width="10.109375" customWidth="1"/>
    <col min="10" max="10" width="31" customWidth="1"/>
    <col min="13" max="13" width="27.109375" customWidth="1"/>
    <col min="14" max="14" width="18.6640625" customWidth="1"/>
    <col min="17" max="17" width="33.33203125" customWidth="1"/>
    <col min="18" max="18" width="36.5546875" customWidth="1"/>
    <col min="19" max="19" width="20.5546875" customWidth="1"/>
    <col min="20" max="20" width="22" customWidth="1"/>
    <col min="21" max="21" width="18.5546875" customWidth="1"/>
    <col min="23" max="23" width="39.5546875" customWidth="1"/>
    <col min="24" max="24" width="8.109375" customWidth="1"/>
  </cols>
  <sheetData>
    <row r="1" spans="1:27" ht="15.05">
      <c r="A1" s="2"/>
      <c r="B1" s="7" t="s">
        <v>0</v>
      </c>
      <c r="C1" s="7" t="s">
        <v>3</v>
      </c>
      <c r="D1" s="7" t="s">
        <v>5</v>
      </c>
      <c r="E1" s="7" t="s">
        <v>6</v>
      </c>
      <c r="F1" s="8" t="s">
        <v>7</v>
      </c>
      <c r="G1" s="8" t="s">
        <v>10</v>
      </c>
      <c r="H1" s="4" t="s">
        <v>13</v>
      </c>
      <c r="I1" s="4" t="s">
        <v>12</v>
      </c>
      <c r="J1" s="9" t="s">
        <v>14</v>
      </c>
      <c r="K1" s="7" t="s">
        <v>15</v>
      </c>
      <c r="L1" s="7" t="s">
        <v>16</v>
      </c>
      <c r="M1" s="7" t="s">
        <v>17</v>
      </c>
      <c r="N1" s="7" t="s">
        <v>18</v>
      </c>
      <c r="O1" s="7" t="s">
        <v>19</v>
      </c>
      <c r="P1" s="7" t="s">
        <v>20</v>
      </c>
      <c r="Q1" s="7" t="s">
        <v>22</v>
      </c>
      <c r="R1" s="7" t="s">
        <v>23</v>
      </c>
      <c r="S1" s="7" t="s">
        <v>24</v>
      </c>
      <c r="T1" s="7" t="s">
        <v>25</v>
      </c>
      <c r="U1" s="7" t="s">
        <v>26</v>
      </c>
      <c r="V1" s="8" t="s">
        <v>30</v>
      </c>
      <c r="W1" s="11" t="s">
        <v>31</v>
      </c>
      <c r="X1" s="13" t="s">
        <v>32</v>
      </c>
      <c r="Y1" s="13" t="s">
        <v>34</v>
      </c>
      <c r="Z1" s="13" t="s">
        <v>35</v>
      </c>
      <c r="AA1" s="13" t="s">
        <v>36</v>
      </c>
    </row>
    <row r="2" spans="1:27" ht="15.05">
      <c r="A2" s="16">
        <f t="shared" ref="A2:A21" si="0">WEEKNUM(B2,2)-WEEKNUM(DATE(YEAR(B2),MONTH(B2),1),2)+1</f>
        <v>1</v>
      </c>
      <c r="B2" s="17">
        <v>43107</v>
      </c>
      <c r="C2" s="19" t="s">
        <v>38</v>
      </c>
      <c r="D2" s="20" t="s">
        <v>40</v>
      </c>
      <c r="E2" s="20" t="s">
        <v>40</v>
      </c>
      <c r="F2" s="22" t="s">
        <v>42</v>
      </c>
      <c r="G2" s="23" t="str">
        <f t="shared" ref="G2:G7" si="1">IF(OR(A2=2,A2=4,A2=5),"X","")</f>
        <v/>
      </c>
      <c r="H2" s="20" t="s">
        <v>46</v>
      </c>
      <c r="I2" s="20"/>
      <c r="J2" s="26"/>
      <c r="K2" s="28" t="str">
        <f>HYPERLINK("https://drive.google.com/drive/folders/1i80tzS7myQJ7lhZXSMeG4fMQojo1ScZi","Service Notes")</f>
        <v>Service Notes</v>
      </c>
      <c r="L2" s="25"/>
      <c r="M2" s="20" t="s">
        <v>52</v>
      </c>
      <c r="N2" s="25"/>
      <c r="O2" s="25"/>
      <c r="P2" s="20" t="s">
        <v>56</v>
      </c>
      <c r="Q2" s="31" t="str">
        <f>HYPERLINK("https://www.biblegateway.com/passage/?search=Mark 1:4-11", "Mark 1:4-11")</f>
        <v>Mark 1:4-11</v>
      </c>
      <c r="R2" s="20" t="s">
        <v>57</v>
      </c>
      <c r="S2" s="31" t="str">
        <f>HYPERLINK("https://www.biblegateway.com/passage/?search=Isaiah 49:1-6", "Isaiah 49:1-6")</f>
        <v>Isaiah 49:1-6</v>
      </c>
      <c r="T2" s="31" t="str">
        <f>HYPERLINK("https://www.biblegateway.com/passage/?search=Acts 16:25-34", "Acts 16:25-34")</f>
        <v>Acts 16:25-34</v>
      </c>
      <c r="U2" s="31" t="str">
        <f>HYPERLINK("https://www.biblegateway.com/passage/?search=Mark 1:4-11", "Mark 1:4-11")</f>
        <v>Mark 1:4-11</v>
      </c>
      <c r="V2" s="32" t="str">
        <f>HYPERLINK("https://www.biblegateway.com/passage/?search=Psalm 2", "2")</f>
        <v>2</v>
      </c>
      <c r="W2" s="33" t="s">
        <v>67</v>
      </c>
      <c r="X2" s="39"/>
      <c r="Y2" s="26"/>
      <c r="Z2" s="33"/>
      <c r="AA2" s="33" t="s">
        <v>60</v>
      </c>
    </row>
    <row r="3" spans="1:27" ht="30.05">
      <c r="A3" s="16">
        <f t="shared" si="0"/>
        <v>2</v>
      </c>
      <c r="B3" s="41">
        <f t="shared" ref="B3:B4" si="2">B2+7</f>
        <v>43114</v>
      </c>
      <c r="C3" s="42" t="s">
        <v>71</v>
      </c>
      <c r="D3" s="43" t="s">
        <v>43</v>
      </c>
      <c r="E3" s="43" t="s">
        <v>40</v>
      </c>
      <c r="F3" s="44" t="s">
        <v>76</v>
      </c>
      <c r="G3" s="45" t="str">
        <f t="shared" si="1"/>
        <v>X</v>
      </c>
      <c r="H3" s="43" t="s">
        <v>46</v>
      </c>
      <c r="I3" s="43"/>
      <c r="J3" s="47" t="s">
        <v>1468</v>
      </c>
      <c r="K3" s="49" t="str">
        <f>HYPERLINK("https://drive.google.com/drive/folders/10h9J_97vINLr9Cp76UNRKIQxJSkkGoEC","Service Notes")</f>
        <v>Service Notes</v>
      </c>
      <c r="L3" s="51"/>
      <c r="M3" s="43" t="s">
        <v>83</v>
      </c>
      <c r="N3" s="51"/>
      <c r="O3" s="51"/>
      <c r="P3" s="43" t="s">
        <v>84</v>
      </c>
      <c r="Q3" s="52" t="str">
        <f>HYPERLINK("https://www.biblegateway.com/passage/?search=1 Corinthians 6:12-20", "1 Corinthians 6:12-20")</f>
        <v>1 Corinthians 6:12-20</v>
      </c>
      <c r="R3" s="43" t="s">
        <v>87</v>
      </c>
      <c r="S3" s="52" t="str">
        <f>HYPERLINK("https://www.biblegateway.com/passage/?search=1 Samuel 3:1-10", "1 Samuel 3:1-10")</f>
        <v>1 Samuel 3:1-10</v>
      </c>
      <c r="T3" s="52" t="str">
        <f>HYPERLINK("https://www.biblegateway.com/passage/?search=1 Corinthians 6:12-20", "1 Corinthians 6:12-20")</f>
        <v>1 Corinthians 6:12-20</v>
      </c>
      <c r="U3" s="52" t="str">
        <f>HYPERLINK("https://www.biblegateway.com/passage/?search=John 1:43-51", "John 1:43-51")</f>
        <v>John 1:43-51</v>
      </c>
      <c r="V3" s="54" t="str">
        <f>HYPERLINK("https://www.biblegateway.com/passage/?search=Psalm 67", "67")</f>
        <v>67</v>
      </c>
      <c r="W3" s="47" t="s">
        <v>92</v>
      </c>
      <c r="X3" s="39"/>
      <c r="Y3" s="53"/>
      <c r="Z3" s="47"/>
      <c r="AA3" s="47" t="s">
        <v>60</v>
      </c>
    </row>
    <row r="4" spans="1:27" ht="15.05">
      <c r="A4" s="16">
        <f t="shared" si="0"/>
        <v>3</v>
      </c>
      <c r="B4" s="41">
        <f t="shared" si="2"/>
        <v>43121</v>
      </c>
      <c r="C4" s="51" t="s">
        <v>93</v>
      </c>
      <c r="D4" s="43" t="s">
        <v>94</v>
      </c>
      <c r="E4" s="43" t="s">
        <v>40</v>
      </c>
      <c r="F4" s="44" t="s">
        <v>64</v>
      </c>
      <c r="G4" s="44" t="str">
        <f t="shared" si="1"/>
        <v/>
      </c>
      <c r="H4" s="43" t="s">
        <v>46</v>
      </c>
      <c r="I4" s="43"/>
      <c r="J4" s="47" t="s">
        <v>1469</v>
      </c>
      <c r="K4" s="49" t="str">
        <f>HYPERLINK("https://drive.google.com/drive/folders/1v3dd2Q89cjmcAwpITAIc7ufFGmBhF9wg","Service Notes")</f>
        <v>Service Notes</v>
      </c>
      <c r="L4" s="43" t="s">
        <v>95</v>
      </c>
      <c r="M4" s="43" t="s">
        <v>91</v>
      </c>
      <c r="N4" s="51"/>
      <c r="O4" s="51"/>
      <c r="P4" s="43" t="s">
        <v>99</v>
      </c>
      <c r="Q4" s="52" t="str">
        <f>HYPERLINK("https://www.biblegateway.com/passage/?search=Acts 13:1-6,14:26-27", "Acts 13:1-6,14:26-27")</f>
        <v>Acts 13:1-6,14:26-27</v>
      </c>
      <c r="R4" s="43" t="s">
        <v>102</v>
      </c>
      <c r="S4" s="52" t="str">
        <f>HYPERLINK("https://www.biblegateway.com/passage/?search=Jonah 3:1-10", "Jonah 3:1-10")</f>
        <v>Jonah 3:1-10</v>
      </c>
      <c r="T4" s="52" t="str">
        <f>HYPERLINK("https://www.biblegateway.com/passage/?search=Acts 13:1-6,14:26-27", "Acts 13:1-6,14:26-27")</f>
        <v>Acts 13:1-6,14:26-27</v>
      </c>
      <c r="U4" s="52" t="str">
        <f>HYPERLINK("https://www.biblegateway.com/passage/?search=Matthew 9:35-38", "Matthew 9:35-38")</f>
        <v>Matthew 9:35-38</v>
      </c>
      <c r="V4" s="54" t="str">
        <f>HYPERLINK("https://www.biblegateway.com/passage/?search=Psalm 62", "62")</f>
        <v>62</v>
      </c>
      <c r="W4" s="47" t="s">
        <v>106</v>
      </c>
      <c r="X4" s="39"/>
      <c r="Y4" s="53"/>
      <c r="Z4" s="47"/>
      <c r="AA4" s="47" t="s">
        <v>40</v>
      </c>
    </row>
    <row r="5" spans="1:27" ht="30.05">
      <c r="A5" s="16">
        <f t="shared" si="0"/>
        <v>4</v>
      </c>
      <c r="B5" s="41">
        <f t="shared" ref="B5:B7" si="3">B4+7</f>
        <v>43128</v>
      </c>
      <c r="C5" s="51" t="s">
        <v>107</v>
      </c>
      <c r="D5" s="43" t="s">
        <v>63</v>
      </c>
      <c r="E5" s="43" t="s">
        <v>43</v>
      </c>
      <c r="F5" s="44" t="s">
        <v>64</v>
      </c>
      <c r="G5" s="45" t="str">
        <f t="shared" si="1"/>
        <v>X</v>
      </c>
      <c r="H5" s="43" t="s">
        <v>46</v>
      </c>
      <c r="I5" s="43"/>
      <c r="J5" s="47"/>
      <c r="K5" s="49" t="str">
        <f>HYPERLINK("https://drive.google.com/drive/folders/1Dn-g683DH2X-2SN__8SdAtb8jH-LVTPe","Service Notes")</f>
        <v>Service Notes</v>
      </c>
      <c r="L5" s="51"/>
      <c r="M5" s="43" t="s">
        <v>105</v>
      </c>
      <c r="N5" s="51"/>
      <c r="O5" s="51"/>
      <c r="P5" s="43" t="s">
        <v>111</v>
      </c>
      <c r="Q5" s="43" t="s">
        <v>112</v>
      </c>
      <c r="R5" s="43" t="s">
        <v>113</v>
      </c>
      <c r="S5" s="52" t="str">
        <f>HYPERLINK("https://www.biblegateway.com/passage/?search=Deuteronomy 18:15-20", "Deuteronomy 18:15-20")</f>
        <v>Deuteronomy 18:15-20</v>
      </c>
      <c r="T5" s="52" t="str">
        <f>HYPERLINK("https://www.biblegateway.com/passage/?search=1 Corinthians 8:1-13", "1 Corinthians 8:1-13")</f>
        <v>1 Corinthians 8:1-13</v>
      </c>
      <c r="U5" s="52" t="str">
        <f>HYPERLINK("https://www.biblegateway.com/passage/?search=Mark 1:21-28", "Mark 1:21-28")</f>
        <v>Mark 1:21-28</v>
      </c>
      <c r="V5" s="54" t="str">
        <f>HYPERLINK("https://www.biblegateway.com/passage/?search=Psalm 18", "18")</f>
        <v>18</v>
      </c>
      <c r="W5" s="47" t="s">
        <v>122</v>
      </c>
      <c r="X5" s="34"/>
      <c r="Y5" s="53"/>
      <c r="Z5" s="47"/>
      <c r="AA5" s="47" t="s">
        <v>60</v>
      </c>
    </row>
    <row r="6" spans="1:27" ht="30.05">
      <c r="A6" s="16">
        <f t="shared" si="0"/>
        <v>1</v>
      </c>
      <c r="B6" s="41">
        <f t="shared" si="3"/>
        <v>43135</v>
      </c>
      <c r="C6" s="43" t="s">
        <v>123</v>
      </c>
      <c r="D6" s="43" t="s">
        <v>46</v>
      </c>
      <c r="E6" s="43" t="s">
        <v>46</v>
      </c>
      <c r="F6" s="44" t="s">
        <v>125</v>
      </c>
      <c r="G6" s="44" t="str">
        <f t="shared" si="1"/>
        <v/>
      </c>
      <c r="H6" s="43"/>
      <c r="I6" s="43"/>
      <c r="J6" s="47"/>
      <c r="K6" s="49" t="str">
        <f>HYPERLINK("https://drive.google.com/drive/folders/13yUt8B-aiMRds0bW0ak1At0jiM0NqYlG","Service Notes")</f>
        <v>Service Notes</v>
      </c>
      <c r="L6" s="51"/>
      <c r="M6" s="43" t="s">
        <v>127</v>
      </c>
      <c r="N6" s="51"/>
      <c r="O6" s="51"/>
      <c r="P6" s="43" t="s">
        <v>130</v>
      </c>
      <c r="Q6" s="52" t="str">
        <f>HYPERLINK("https://www.biblegateway.com/passage/?search=Deuteronomy 6:1-9; 20-23", "Deuteronomy 6:1-9; 20-23")</f>
        <v>Deuteronomy 6:1-9; 20-23</v>
      </c>
      <c r="R6" s="43" t="s">
        <v>131</v>
      </c>
      <c r="S6" s="52" t="str">
        <f>HYPERLINK("https://www.biblegateway.com/passage/?search=Deuteronomy 6:1-9; 20-23", "Deuteronomy 6:1-9; 20-23")</f>
        <v>Deuteronomy 6:1-9; 20-23</v>
      </c>
      <c r="T6" s="52" t="str">
        <f>HYPERLINK("https://www.biblegateway.com/passage/?search=Ephesians 6:1-4", "Ephesians 6:1-4")</f>
        <v>Ephesians 6:1-4</v>
      </c>
      <c r="U6" s="52" t="str">
        <f>HYPERLINK("https://www.biblegateway.com/passage/?search=Matthew 19:13-15", "Matthew 19:13-15")</f>
        <v>Matthew 19:13-15</v>
      </c>
      <c r="V6" s="54" t="str">
        <f>HYPERLINK("https://www.biblegateway.com/passage/?search=Psalm 34", "34")</f>
        <v>34</v>
      </c>
      <c r="W6" s="57" t="s">
        <v>142</v>
      </c>
      <c r="X6" s="34"/>
      <c r="Y6" s="47" t="s">
        <v>143</v>
      </c>
      <c r="Z6" s="47"/>
      <c r="AA6" s="47" t="s">
        <v>60</v>
      </c>
    </row>
    <row r="7" spans="1:27" ht="15.05">
      <c r="A7" s="16">
        <f t="shared" si="0"/>
        <v>2</v>
      </c>
      <c r="B7" s="37">
        <f t="shared" si="3"/>
        <v>43142</v>
      </c>
      <c r="C7" s="25" t="s">
        <v>136</v>
      </c>
      <c r="D7" s="20" t="s">
        <v>43</v>
      </c>
      <c r="E7" s="20" t="s">
        <v>46</v>
      </c>
      <c r="F7" s="22" t="s">
        <v>144</v>
      </c>
      <c r="G7" s="23" t="str">
        <f t="shared" si="1"/>
        <v>X</v>
      </c>
      <c r="H7" s="20"/>
      <c r="I7" s="20"/>
      <c r="J7" s="26"/>
      <c r="K7" s="28" t="str">
        <f>HYPERLINK("https://drive.google.com/drive/folders/1fflhhkp-XMG4uVdb8MlE0p4gTkPIstIq","Service Notes")</f>
        <v>Service Notes</v>
      </c>
      <c r="L7" s="25"/>
      <c r="M7" s="20" t="s">
        <v>83</v>
      </c>
      <c r="N7" s="25"/>
      <c r="O7" s="25"/>
      <c r="P7" s="20" t="s">
        <v>154</v>
      </c>
      <c r="Q7" s="31" t="str">
        <f>HYPERLINK("https://www.biblegateway.com/passage/?search=2 Kings 2:1-12a", "2 Kings 2:1-12a")</f>
        <v>2 Kings 2:1-12a</v>
      </c>
      <c r="R7" s="20" t="s">
        <v>157</v>
      </c>
      <c r="S7" s="31" t="str">
        <f>HYPERLINK("https://www.biblegateway.com/passage/?search=2 Kings 2:1-12a", "2 Kings 2:1-12a")</f>
        <v>2 Kings 2:1-12a</v>
      </c>
      <c r="T7" s="31" t="str">
        <f>HYPERLINK("https://www.biblegateway.com/passage/?search=2 Corinthians 3:12-4:2", "2 Corinthians 3:12-4:2")</f>
        <v>2 Corinthians 3:12-4:2</v>
      </c>
      <c r="U7" s="31" t="str">
        <f>HYPERLINK("https://www.biblegateway.com/passage/?search=Mark 9:2-9", "Mark 9:2-9")</f>
        <v>Mark 9:2-9</v>
      </c>
      <c r="V7" s="32" t="str">
        <f>HYPERLINK("https://www.biblegateway.com/passage/?search=Psalm 148", "148")</f>
        <v>148</v>
      </c>
      <c r="W7" s="48" t="s">
        <v>164</v>
      </c>
      <c r="X7" s="34"/>
      <c r="Y7" s="33" t="s">
        <v>165</v>
      </c>
      <c r="Z7" s="33"/>
      <c r="AA7" s="33" t="s">
        <v>60</v>
      </c>
    </row>
    <row r="8" spans="1:27" ht="15.05">
      <c r="A8" s="16">
        <f t="shared" si="0"/>
        <v>3</v>
      </c>
      <c r="B8" s="63">
        <f>B7+3</f>
        <v>43145</v>
      </c>
      <c r="C8" s="64" t="s">
        <v>153</v>
      </c>
      <c r="D8" s="64" t="s">
        <v>40</v>
      </c>
      <c r="E8" s="64" t="s">
        <v>43</v>
      </c>
      <c r="F8" s="65" t="s">
        <v>44</v>
      </c>
      <c r="G8" s="65" t="s">
        <v>167</v>
      </c>
      <c r="H8" s="66"/>
      <c r="I8" s="64"/>
      <c r="J8" s="67"/>
      <c r="K8" s="28" t="str">
        <f>HYPERLINK("https://drive.google.com/drive/folders/1EjBMasD4QQbjrGwdcPH3JbF6B4jnTtzc","Service Notes")</f>
        <v>Service Notes</v>
      </c>
      <c r="L8" s="25"/>
      <c r="M8" s="20" t="s">
        <v>153</v>
      </c>
      <c r="N8" s="25"/>
      <c r="O8" s="25"/>
      <c r="P8" s="25"/>
      <c r="Q8" s="31" t="str">
        <f>HYPERLINK("https://www.biblegateway.com/passage/?search=Hebrews 9:11-14", "Hebrews 9:11-14")</f>
        <v>Hebrews 9:11-14</v>
      </c>
      <c r="R8" s="20" t="s">
        <v>170</v>
      </c>
      <c r="S8" s="31" t="str">
        <f>HYPERLINK("https://www.biblegateway.com/passage/?search=Isaiah 59:12-20", "Isaiah 59:12-20")</f>
        <v>Isaiah 59:12-20</v>
      </c>
      <c r="T8" s="31" t="str">
        <f>HYPERLINK("https://www.biblegateway.com/passage/?search=2 Corinthians 5:20b-6:2", "2 Corinthians 5:20b-6:2")</f>
        <v>2 Corinthians 5:20b-6:2</v>
      </c>
      <c r="U8" s="31" t="str">
        <f>HYPERLINK("https://www.biblegateway.com/passage/?search=Luke 18:9-14", "Luke 18:9-14")</f>
        <v>Luke 18:9-14</v>
      </c>
      <c r="V8" s="32" t="str">
        <f>HYPERLINK("https://www.biblegateway.com/passage/?search=Psalm 51a", "51a")</f>
        <v>51a</v>
      </c>
      <c r="W8" s="33" t="s">
        <v>173</v>
      </c>
      <c r="X8" s="34"/>
      <c r="Y8" s="33" t="s">
        <v>174</v>
      </c>
      <c r="Z8" s="33"/>
      <c r="AA8" s="33" t="s">
        <v>40</v>
      </c>
    </row>
    <row r="9" spans="1:27" ht="15.05">
      <c r="A9" s="16">
        <f t="shared" si="0"/>
        <v>3</v>
      </c>
      <c r="B9" s="68">
        <f>B7+7</f>
        <v>43149</v>
      </c>
      <c r="C9" s="69" t="s">
        <v>163</v>
      </c>
      <c r="D9" s="70" t="s">
        <v>46</v>
      </c>
      <c r="E9" s="70" t="s">
        <v>46</v>
      </c>
      <c r="F9" s="71" t="s">
        <v>175</v>
      </c>
      <c r="G9" s="71" t="str">
        <f>IF(OR(A9=2,A9=4,A9=5),"X","")</f>
        <v/>
      </c>
      <c r="H9" s="70"/>
      <c r="I9" s="70"/>
      <c r="J9" s="75"/>
      <c r="K9" s="74" t="str">
        <f>HYPERLINK("https://drive.google.com/drive/u/0/folders/1lR5jjKH0k91KoUAqPH12r1kYBUdp7XuN","Service Notes")</f>
        <v>Service Notes</v>
      </c>
      <c r="L9" s="69"/>
      <c r="M9" s="70" t="s">
        <v>91</v>
      </c>
      <c r="N9" s="69"/>
      <c r="O9" s="69"/>
      <c r="P9" s="70" t="s">
        <v>177</v>
      </c>
      <c r="Q9" s="77" t="str">
        <f>HYPERLINK("https://www.biblegateway.com/passage/?search=Romans 8:31-39", "Romans 8:31-39")</f>
        <v>Romans 8:31-39</v>
      </c>
      <c r="R9" s="70"/>
      <c r="S9" s="77" t="str">
        <f>HYPERLINK("https://www.biblegateway.com/passage/?search=Genesis 22:1-18", "Genesis 22:1-18")</f>
        <v>Genesis 22:1-18</v>
      </c>
      <c r="T9" s="77" t="str">
        <f>HYPERLINK("https://www.biblegateway.com/passage/?search=Romans 8:31-39", "Romans 8:31-39")</f>
        <v>Romans 8:31-39</v>
      </c>
      <c r="U9" s="77" t="str">
        <f>HYPERLINK("https://www.biblegateway.com/passage/?search=Mark 1:12-15", "Mark 1:12-15")</f>
        <v>Mark 1:12-15</v>
      </c>
      <c r="V9" s="79" t="str">
        <f>HYPERLINK("https://www.biblegateway.com/passage/?search=Psalm If God is For Us", "If God is For Us")</f>
        <v>If God is For Us</v>
      </c>
      <c r="W9" s="75" t="s">
        <v>200</v>
      </c>
      <c r="X9" s="34"/>
      <c r="Y9" s="73"/>
      <c r="Z9" s="75"/>
      <c r="AA9" s="75" t="s">
        <v>60</v>
      </c>
    </row>
    <row r="10" spans="1:27" ht="15.05">
      <c r="A10" s="16">
        <f t="shared" si="0"/>
        <v>4</v>
      </c>
      <c r="B10" s="68">
        <f>B9+3</f>
        <v>43152</v>
      </c>
      <c r="C10" s="70" t="s">
        <v>187</v>
      </c>
      <c r="D10" s="70" t="s">
        <v>201</v>
      </c>
      <c r="E10" s="70" t="s">
        <v>40</v>
      </c>
      <c r="F10" s="71" t="s">
        <v>64</v>
      </c>
      <c r="G10" s="78"/>
      <c r="H10" s="70"/>
      <c r="I10" s="70"/>
      <c r="J10" s="73"/>
      <c r="K10" s="74" t="str">
        <f>HYPERLINK("https://drive.google.com/drive/u/0/folders/1bvy4mwpTzq-QfLdUID0rErNiKsZm_623","Service Notes")</f>
        <v>Service Notes</v>
      </c>
      <c r="L10" s="69"/>
      <c r="M10" s="70"/>
      <c r="N10" s="69"/>
      <c r="O10" s="69"/>
      <c r="P10" s="69"/>
      <c r="Q10" s="77" t="str">
        <f>HYPERLINK("https://www.biblegateway.com/passage/?search=Hebrews 4:14-16", "Hebrews 4:14-16")</f>
        <v>Hebrews 4:14-16</v>
      </c>
      <c r="R10" s="70" t="s">
        <v>205</v>
      </c>
      <c r="S10" s="77" t="str">
        <f>HYPERLINK("https://www.biblegateway.com/passage/?search=Passion History 1", "Passion History 1")</f>
        <v>Passion History 1</v>
      </c>
      <c r="T10" s="70"/>
      <c r="U10" s="70"/>
      <c r="V10" s="83" t="str">
        <f>HYPERLINK("https://www.biblegateway.com/passage/?search=Psalm 1", "1")</f>
        <v>1</v>
      </c>
      <c r="W10" s="75" t="s">
        <v>212</v>
      </c>
      <c r="X10" s="34"/>
      <c r="Y10" s="75" t="s">
        <v>213</v>
      </c>
      <c r="Z10" s="75"/>
      <c r="AA10" s="75" t="s">
        <v>40</v>
      </c>
    </row>
    <row r="11" spans="1:27" ht="45.1">
      <c r="A11" s="16">
        <f t="shared" si="0"/>
        <v>4</v>
      </c>
      <c r="B11" s="68">
        <f>B9+7</f>
        <v>43156</v>
      </c>
      <c r="C11" s="69" t="s">
        <v>197</v>
      </c>
      <c r="D11" s="70" t="s">
        <v>43</v>
      </c>
      <c r="E11" s="70" t="s">
        <v>40</v>
      </c>
      <c r="F11" s="71" t="s">
        <v>215</v>
      </c>
      <c r="G11" s="78" t="str">
        <f>IF(OR(A11=2,A11=4,A11=5),"X","")</f>
        <v>X</v>
      </c>
      <c r="H11" s="70"/>
      <c r="I11" s="70"/>
      <c r="J11" s="73"/>
      <c r="K11" s="74" t="str">
        <f>HYPERLINK("https://drive.google.com/drive/u/0/folders/1gGTudSP-Nd4CH9kEHO2_rJ_ykwgGQaO-","Service Notes")</f>
        <v>Service Notes</v>
      </c>
      <c r="L11" s="69"/>
      <c r="M11" s="70" t="s">
        <v>105</v>
      </c>
      <c r="N11" s="69"/>
      <c r="O11" s="69"/>
      <c r="P11" s="70" t="s">
        <v>203</v>
      </c>
      <c r="Q11" s="77" t="str">
        <f>HYPERLINK("https://www.biblegateway.com/passage/?search=Genesis 28:10-17", "Genesis 28:10-17")</f>
        <v>Genesis 28:10-17</v>
      </c>
      <c r="R11" s="70" t="s">
        <v>229</v>
      </c>
      <c r="S11" s="77" t="str">
        <f>HYPERLINK("https://www.biblegateway.com/passage/?search=Genesis 28:10-17", "Genesis 28:10-17")</f>
        <v>Genesis 28:10-17</v>
      </c>
      <c r="T11" s="77" t="str">
        <f>HYPERLINK("https://www.biblegateway.com/passage/?search=Romans 5:1-11", "Romans 5:1-11")</f>
        <v>Romans 5:1-11</v>
      </c>
      <c r="U11" s="77" t="str">
        <f>HYPERLINK("https://www.biblegateway.com/passage/?search=Mark 8:31-38", "Mark 8:31-38")</f>
        <v>Mark 8:31-38</v>
      </c>
      <c r="V11" s="83" t="str">
        <f>HYPERLINK("https://www.biblegateway.com/passage/?search=Psalm 73", "73")</f>
        <v>73</v>
      </c>
      <c r="W11" s="75" t="s">
        <v>241</v>
      </c>
      <c r="X11" s="34"/>
      <c r="Y11" s="75" t="s">
        <v>242</v>
      </c>
      <c r="Z11" s="75"/>
      <c r="AA11" s="75" t="s">
        <v>60</v>
      </c>
    </row>
    <row r="12" spans="1:27" ht="21" customHeight="1">
      <c r="A12" s="16">
        <f t="shared" si="0"/>
        <v>5</v>
      </c>
      <c r="B12" s="68">
        <f>B11+3</f>
        <v>43159</v>
      </c>
      <c r="C12" s="70" t="s">
        <v>211</v>
      </c>
      <c r="D12" s="70" t="s">
        <v>63</v>
      </c>
      <c r="E12" s="70" t="s">
        <v>40</v>
      </c>
      <c r="F12" s="71" t="s">
        <v>64</v>
      </c>
      <c r="G12" s="71"/>
      <c r="H12" s="70"/>
      <c r="I12" s="70"/>
      <c r="J12" s="84"/>
      <c r="K12" s="89"/>
      <c r="L12" s="69"/>
      <c r="M12" s="70"/>
      <c r="N12" s="69"/>
      <c r="O12" s="69"/>
      <c r="P12" s="69"/>
      <c r="Q12" s="77" t="str">
        <f>HYPERLINK("https://www.biblegateway.com/passage/?search=Hebrews 10:5-12", "Hebrews 10:5-12")</f>
        <v>Hebrews 10:5-12</v>
      </c>
      <c r="R12" s="70" t="s">
        <v>260</v>
      </c>
      <c r="S12" s="77" t="str">
        <f>HYPERLINK("https://www.biblegateway.com/passage/?search=Passion History 2", "Passion History 2")</f>
        <v>Passion History 2</v>
      </c>
      <c r="T12" s="70"/>
      <c r="U12" s="70"/>
      <c r="V12" s="83" t="str">
        <f>HYPERLINK("https://www.biblegateway.com/passage/?search=Psalm 32", "32")</f>
        <v>32</v>
      </c>
      <c r="W12" s="92" t="s">
        <v>265</v>
      </c>
      <c r="X12" s="34"/>
      <c r="Y12" s="82" t="s">
        <v>267</v>
      </c>
      <c r="Z12" s="75"/>
      <c r="AA12" s="75" t="s">
        <v>268</v>
      </c>
    </row>
    <row r="13" spans="1:27" ht="15.05">
      <c r="A13" s="16">
        <f t="shared" si="0"/>
        <v>1</v>
      </c>
      <c r="B13" s="68">
        <f>B11+7</f>
        <v>43163</v>
      </c>
      <c r="C13" s="69" t="s">
        <v>220</v>
      </c>
      <c r="D13" s="70" t="s">
        <v>40</v>
      </c>
      <c r="E13" s="70" t="s">
        <v>40</v>
      </c>
      <c r="F13" s="71" t="s">
        <v>271</v>
      </c>
      <c r="G13" s="71" t="str">
        <f>IF(OR(A13=2,A13=4,A13=5),"X","")</f>
        <v/>
      </c>
      <c r="H13" s="70"/>
      <c r="I13" s="70"/>
      <c r="J13" s="73"/>
      <c r="K13" s="74" t="str">
        <f>HYPERLINK("https://drive.google.com/drive/u/0/folders/1LIeKxdHD8ZWM3PRO_QyAFLtY4bvPYV3a","Service Notes")</f>
        <v>Service Notes</v>
      </c>
      <c r="L13" s="69"/>
      <c r="M13" s="70" t="s">
        <v>52</v>
      </c>
      <c r="N13" s="69"/>
      <c r="O13" s="69"/>
      <c r="P13" s="70"/>
      <c r="Q13" s="77" t="str">
        <f>HYPERLINK("https://www.biblegateway.com/passage/?search=1 Corinthians 1:22-25", "1 Corinthians 1:22-25")</f>
        <v>1 Corinthians 1:22-25</v>
      </c>
      <c r="R13" s="70" t="s">
        <v>278</v>
      </c>
      <c r="S13" s="77" t="str">
        <f>HYPERLINK("https://www.biblegateway.com/passage/?search=Exodus 20:1-17", "Exodus 20:1-17")</f>
        <v>Exodus 20:1-17</v>
      </c>
      <c r="T13" s="77" t="str">
        <f>HYPERLINK("https://www.biblegateway.com/passage/?search=1 Corinthians 1:22-25", "1 Corinthians 1:22-25")</f>
        <v>1 Corinthians 1:22-25</v>
      </c>
      <c r="U13" s="77" t="str">
        <f>HYPERLINK("https://www.biblegateway.com/passage/?search=John 2:13-22", "John 2:13-22")</f>
        <v>John 2:13-22</v>
      </c>
      <c r="V13" s="83" t="str">
        <f>HYPERLINK("https://www.biblegateway.com/passage/?search=Psalm 19", "19")</f>
        <v>19</v>
      </c>
      <c r="W13" s="75" t="s">
        <v>286</v>
      </c>
      <c r="X13" s="34"/>
      <c r="Y13" s="75" t="s">
        <v>152</v>
      </c>
      <c r="Z13" s="75"/>
      <c r="AA13" s="75" t="s">
        <v>60</v>
      </c>
    </row>
    <row r="14" spans="1:27" ht="15.05">
      <c r="A14" s="16">
        <f t="shared" si="0"/>
        <v>2</v>
      </c>
      <c r="B14" s="68">
        <f>B13+3</f>
        <v>43166</v>
      </c>
      <c r="C14" s="70" t="s">
        <v>232</v>
      </c>
      <c r="D14" s="70" t="s">
        <v>295</v>
      </c>
      <c r="E14" s="70" t="s">
        <v>46</v>
      </c>
      <c r="F14" s="71" t="s">
        <v>90</v>
      </c>
      <c r="G14" s="71"/>
      <c r="H14" s="69"/>
      <c r="I14" s="70"/>
      <c r="J14" s="73"/>
      <c r="K14" s="74" t="str">
        <f>HYPERLINK("https://drive.google.com/drive/folders/10nLQCD4YLN_wsRkTPFUO1Y3rFf2uqXjb","Service Notes")</f>
        <v>Service Notes</v>
      </c>
      <c r="L14" s="69"/>
      <c r="M14" s="70"/>
      <c r="N14" s="69"/>
      <c r="O14" s="69"/>
      <c r="P14" s="69"/>
      <c r="Q14" s="77" t="str">
        <f>HYPERLINK("https://www.biblegateway.com/passage/?search=Hebrews 13:10-16", "Hebrews 13:10-16")</f>
        <v>Hebrews 13:10-16</v>
      </c>
      <c r="R14" s="70" t="s">
        <v>299</v>
      </c>
      <c r="S14" s="77" t="str">
        <f>HYPERLINK("https://www.biblegateway.com/passage/?search=Passion History 3", "Passion History 3")</f>
        <v>Passion History 3</v>
      </c>
      <c r="T14" s="93"/>
      <c r="U14" s="70"/>
      <c r="V14" s="83" t="str">
        <f>HYPERLINK("https://www.biblegateway.com/passage/?search=Psalm 6", "6")</f>
        <v>6</v>
      </c>
      <c r="W14" s="75" t="s">
        <v>306</v>
      </c>
      <c r="X14" s="34"/>
      <c r="Y14" s="75" t="s">
        <v>307</v>
      </c>
      <c r="Z14" s="75"/>
      <c r="AA14" s="75" t="s">
        <v>40</v>
      </c>
    </row>
    <row r="15" spans="1:27" ht="15.05">
      <c r="A15" s="16">
        <f t="shared" si="0"/>
        <v>2</v>
      </c>
      <c r="B15" s="68">
        <f>B13+7</f>
        <v>43170</v>
      </c>
      <c r="C15" s="69" t="s">
        <v>238</v>
      </c>
      <c r="D15" s="70" t="s">
        <v>46</v>
      </c>
      <c r="E15" s="70" t="s">
        <v>40</v>
      </c>
      <c r="F15" s="71" t="s">
        <v>64</v>
      </c>
      <c r="G15" s="71" t="str">
        <f t="shared" ref="G15:G17" si="4">IF(OR(A15=2,A15=4,A15=5),"X","")</f>
        <v>X</v>
      </c>
      <c r="H15" s="70"/>
      <c r="I15" s="70"/>
      <c r="J15" s="75"/>
      <c r="K15" s="74" t="str">
        <f>HYPERLINK("https://drive.google.com/drive/folders/1fPOhuUNQy3eSe6RPwnleACmb33ZepGKS","Service Notes")</f>
        <v>Service Notes</v>
      </c>
      <c r="L15" s="69"/>
      <c r="M15" s="70" t="s">
        <v>83</v>
      </c>
      <c r="N15" s="69"/>
      <c r="O15" s="69"/>
      <c r="P15" s="70" t="s">
        <v>243</v>
      </c>
      <c r="Q15" s="77" t="str">
        <f>HYPERLINK("https://www.biblegateway.com/passage/?search=John 3:14-21", "John 3:14-21")</f>
        <v>John 3:14-21</v>
      </c>
      <c r="R15" s="70" t="s">
        <v>322</v>
      </c>
      <c r="S15" s="77" t="str">
        <f>HYPERLINK("https://www.biblegateway.com/passage/?search=Numbers 21:4-9", "Numbers 21:4-9")</f>
        <v>Numbers 21:4-9</v>
      </c>
      <c r="T15" s="77" t="str">
        <f>HYPERLINK("https://www.biblegateway.com/passage/?search=Ephesians 2:4-10", "Ephesians 2:4-10")</f>
        <v>Ephesians 2:4-10</v>
      </c>
      <c r="U15" s="77" t="str">
        <f>HYPERLINK("https://www.biblegateway.com/passage/?search=John 3:14-21", "John 3:14-21")</f>
        <v>John 3:14-21</v>
      </c>
      <c r="V15" s="79" t="str">
        <f>HYPERLINK("https://www.biblegateway.com/passage/?search=Psalm 107", "107")</f>
        <v>107</v>
      </c>
      <c r="W15" s="100" t="s">
        <v>331</v>
      </c>
      <c r="X15" s="34"/>
      <c r="Y15" s="75"/>
      <c r="Z15" s="75"/>
      <c r="AA15" s="75" t="s">
        <v>268</v>
      </c>
    </row>
    <row r="16" spans="1:27" ht="15.05">
      <c r="A16" s="16">
        <f t="shared" si="0"/>
        <v>3</v>
      </c>
      <c r="B16" s="68">
        <f>B15+3</f>
        <v>43173</v>
      </c>
      <c r="C16" s="70" t="s">
        <v>250</v>
      </c>
      <c r="D16" s="70" t="s">
        <v>43</v>
      </c>
      <c r="E16" s="70" t="s">
        <v>43</v>
      </c>
      <c r="F16" s="71" t="s">
        <v>44</v>
      </c>
      <c r="G16" s="78" t="str">
        <f t="shared" si="4"/>
        <v/>
      </c>
      <c r="H16" s="69"/>
      <c r="I16" s="70"/>
      <c r="J16" s="75"/>
      <c r="K16" s="74" t="str">
        <f>HYPERLINK("https://drive.google.com/drive/u/0/folders/1EY25WTE9Jy7gsFHXPymFLcYo_rFDei2F","Service Notes")</f>
        <v>Service Notes</v>
      </c>
      <c r="L16" s="69"/>
      <c r="M16" s="70"/>
      <c r="N16" s="69"/>
      <c r="O16" s="69"/>
      <c r="P16" s="69"/>
      <c r="Q16" s="77" t="str">
        <f>HYPERLINK("https://www.biblegateway.com/passage/?search=Hebrews 10:19-25", "Hebrews 10:19-25")</f>
        <v>Hebrews 10:19-25</v>
      </c>
      <c r="R16" s="70" t="s">
        <v>346</v>
      </c>
      <c r="S16" s="77" t="str">
        <f>HYPERLINK("https://www.biblegateway.com/passage/?search=Passion History 4", "Passion History 4")</f>
        <v>Passion History 4</v>
      </c>
      <c r="T16" s="70"/>
      <c r="U16" s="70"/>
      <c r="V16" s="83" t="str">
        <f>HYPERLINK("https://www.biblegateway.com/passage/?search=Psalm 38", "38")</f>
        <v>38</v>
      </c>
      <c r="W16" s="75" t="s">
        <v>353</v>
      </c>
      <c r="X16" s="34"/>
      <c r="Y16" s="75" t="s">
        <v>354</v>
      </c>
      <c r="Z16" s="75"/>
      <c r="AA16" s="75" t="s">
        <v>40</v>
      </c>
    </row>
    <row r="17" spans="1:30" ht="15.05">
      <c r="A17" s="16">
        <f t="shared" si="0"/>
        <v>3</v>
      </c>
      <c r="B17" s="68">
        <f>B15+7</f>
        <v>43177</v>
      </c>
      <c r="C17" s="69" t="s">
        <v>262</v>
      </c>
      <c r="D17" s="70" t="s">
        <v>40</v>
      </c>
      <c r="E17" s="70" t="s">
        <v>40</v>
      </c>
      <c r="F17" s="71" t="s">
        <v>358</v>
      </c>
      <c r="G17" s="78" t="str">
        <f t="shared" si="4"/>
        <v/>
      </c>
      <c r="H17" s="70"/>
      <c r="I17" s="70"/>
      <c r="J17" s="73"/>
      <c r="K17" s="74" t="str">
        <f>HYPERLINK("https://drive.google.com/drive/folders/1OWGJZ3SGwG7RsKK1bgYv7juDqMTDq9WP","Service Notes")</f>
        <v>Service Notes</v>
      </c>
      <c r="L17" s="69"/>
      <c r="M17" s="70" t="s">
        <v>91</v>
      </c>
      <c r="N17" s="69"/>
      <c r="O17" s="69"/>
      <c r="P17" s="70" t="s">
        <v>269</v>
      </c>
      <c r="Q17" s="77" t="str">
        <f>HYPERLINK("https://www.biblegateway.com/passage/?search=Jeremiah 31:31-34", "Jeremiah 31:31-34")</f>
        <v>Jeremiah 31:31-34</v>
      </c>
      <c r="R17" s="70" t="s">
        <v>367</v>
      </c>
      <c r="S17" s="77" t="str">
        <f>HYPERLINK("https://www.biblegateway.com/passage/?search=Jeremiah 31:31-34", "Jeremiah 31:31-34")</f>
        <v>Jeremiah 31:31-34</v>
      </c>
      <c r="T17" s="77" t="str">
        <f>HYPERLINK("https://www.biblegateway.com/passage/?search=Hebrews 5:7-9", "Hebrews 5:7-9")</f>
        <v>Hebrews 5:7-9</v>
      </c>
      <c r="U17" s="77" t="str">
        <f>HYPERLINK("https://www.biblegateway.com/passage/?search=John 12:20-33", "John 12:20-33")</f>
        <v>John 12:20-33</v>
      </c>
      <c r="V17" s="79" t="str">
        <f>HYPERLINK("https://www.biblegateway.com/passage/?search=Psalm 89", "89")</f>
        <v>89</v>
      </c>
      <c r="W17" s="106" t="s">
        <v>375</v>
      </c>
      <c r="X17" s="34"/>
      <c r="Y17" s="75" t="s">
        <v>376</v>
      </c>
      <c r="Z17" s="75"/>
      <c r="AA17" s="75" t="s">
        <v>268</v>
      </c>
    </row>
    <row r="18" spans="1:30" ht="15.05">
      <c r="A18" s="16">
        <f t="shared" si="0"/>
        <v>4</v>
      </c>
      <c r="B18" s="68">
        <f>B17+3</f>
        <v>43180</v>
      </c>
      <c r="C18" s="70" t="s">
        <v>275</v>
      </c>
      <c r="D18" s="70" t="s">
        <v>40</v>
      </c>
      <c r="E18" s="70" t="s">
        <v>40</v>
      </c>
      <c r="F18" s="71" t="s">
        <v>381</v>
      </c>
      <c r="G18" s="71"/>
      <c r="H18" s="69"/>
      <c r="I18" s="70"/>
      <c r="J18" s="75"/>
      <c r="K18" s="70"/>
      <c r="L18" s="69"/>
      <c r="M18" s="70"/>
      <c r="N18" s="69"/>
      <c r="O18" s="69"/>
      <c r="P18" s="69"/>
      <c r="Q18" s="77" t="str">
        <f>HYPERLINK("https://www.biblegateway.com/passage/?search=Hebrews 5:7-9", "Hebrews 5:7-9")</f>
        <v>Hebrews 5:7-9</v>
      </c>
      <c r="R18" s="70" t="s">
        <v>386</v>
      </c>
      <c r="S18" s="77" t="str">
        <f>HYPERLINK("https://www.biblegateway.com/passage/?search=Passion History 5", "Passion History 5")</f>
        <v>Passion History 5</v>
      </c>
      <c r="T18" s="70"/>
      <c r="U18" s="70"/>
      <c r="V18" s="83" t="str">
        <f>HYPERLINK("https://www.biblegateway.com/passage/?search=Psalm 130", "130")</f>
        <v>130</v>
      </c>
      <c r="W18" s="75" t="s">
        <v>389</v>
      </c>
      <c r="X18" s="34"/>
      <c r="Y18" s="75" t="s">
        <v>391</v>
      </c>
      <c r="Z18" s="75"/>
      <c r="AA18" s="75" t="s">
        <v>40</v>
      </c>
    </row>
    <row r="19" spans="1:30" ht="15.05">
      <c r="A19" s="16">
        <f t="shared" si="0"/>
        <v>4</v>
      </c>
      <c r="B19" s="68">
        <f>B17+7</f>
        <v>43184</v>
      </c>
      <c r="C19" s="69" t="s">
        <v>393</v>
      </c>
      <c r="D19" s="70" t="s">
        <v>43</v>
      </c>
      <c r="E19" s="70" t="s">
        <v>40</v>
      </c>
      <c r="F19" s="71" t="s">
        <v>44</v>
      </c>
      <c r="G19" s="71" t="str">
        <f t="shared" ref="G19:G21" si="5">IF(OR(A19=2,A19=4,A19=5),"X","")</f>
        <v>X</v>
      </c>
      <c r="H19" s="70"/>
      <c r="I19" s="70"/>
      <c r="J19" s="75"/>
      <c r="K19" s="74" t="str">
        <f>HYPERLINK("https://drive.google.com/drive/u/0/folders/1jHW_HntwynQbCBQcC9tgQYEpNw9wZjUl","Service Notes")</f>
        <v>Service Notes</v>
      </c>
      <c r="L19" s="69"/>
      <c r="M19" s="70" t="s">
        <v>396</v>
      </c>
      <c r="N19" s="69"/>
      <c r="O19" s="69"/>
      <c r="P19" s="70" t="s">
        <v>288</v>
      </c>
      <c r="Q19" s="77" t="str">
        <f>HYPERLINK("https://www.biblegateway.com/passage/?search=John 12:12-19", "John 12:12-19")</f>
        <v>John 12:12-19</v>
      </c>
      <c r="R19" s="70" t="s">
        <v>398</v>
      </c>
      <c r="S19" s="77" t="str">
        <f>HYPERLINK("https://www.biblegateway.com/passage/?search=Zechariah 9:9,10", "Zechariah 9:9,10")</f>
        <v>Zechariah 9:9,10</v>
      </c>
      <c r="T19" s="77" t="str">
        <f>HYPERLINK("https://www.biblegateway.com/passage/?search=Philippians 2:5-11", "Philippians 2:5-11")</f>
        <v>Philippians 2:5-11</v>
      </c>
      <c r="U19" s="77" t="str">
        <f>HYPERLINK("https://www.biblegateway.com/passage/?search=John 12:12-19", "John 12:12-19")</f>
        <v>John 12:12-19</v>
      </c>
      <c r="V19" s="79" t="str">
        <f>HYPERLINK("https://www.biblegateway.com/passage/?search=Psalm none", "none")</f>
        <v>none</v>
      </c>
      <c r="W19" s="75" t="s">
        <v>406</v>
      </c>
      <c r="X19" s="34"/>
      <c r="Y19" s="75" t="s">
        <v>407</v>
      </c>
      <c r="Z19" s="75"/>
      <c r="AA19" s="75" t="s">
        <v>408</v>
      </c>
    </row>
    <row r="20" spans="1:30" ht="30.05">
      <c r="A20" s="16">
        <f t="shared" si="0"/>
        <v>5</v>
      </c>
      <c r="B20" s="91">
        <f>B19+4</f>
        <v>43188</v>
      </c>
      <c r="C20" s="69" t="s">
        <v>297</v>
      </c>
      <c r="D20" s="70" t="s">
        <v>63</v>
      </c>
      <c r="E20" s="70" t="s">
        <v>43</v>
      </c>
      <c r="F20" s="71" t="s">
        <v>64</v>
      </c>
      <c r="G20" s="71" t="str">
        <f t="shared" si="5"/>
        <v>X</v>
      </c>
      <c r="H20" s="110"/>
      <c r="I20" s="110"/>
      <c r="J20" s="73"/>
      <c r="K20" s="74" t="str">
        <f>HYPERLINK("https://drive.google.com/drive/u/0/folders/1wS_9sM4lyoB-l6kJXX3uke2Yh5Ya593e","Service Notes")</f>
        <v>Service Notes</v>
      </c>
      <c r="L20" s="69"/>
      <c r="M20" s="70" t="s">
        <v>411</v>
      </c>
      <c r="N20" s="69"/>
      <c r="O20" s="69"/>
      <c r="P20" s="70" t="s">
        <v>413</v>
      </c>
      <c r="Q20" s="77" t="str">
        <f>HYPERLINK("https://www.biblegateway.com/passage/?search=Mark 14:12-26", "Mark 14:12-26")</f>
        <v>Mark 14:12-26</v>
      </c>
      <c r="R20" s="70" t="s">
        <v>416</v>
      </c>
      <c r="S20" s="77" t="str">
        <f>HYPERLINK("https://www.biblegateway.com/passage/?search=Exodus 12:1-14", "Exodus 12:1-14")</f>
        <v>Exodus 12:1-14</v>
      </c>
      <c r="T20" s="77" t="str">
        <f>HYPERLINK("https://www.biblegateway.com/passage/?search=1 Corinthians 10:16,17", "1 Corinthians 10:16,17")</f>
        <v>1 Corinthians 10:16,17</v>
      </c>
      <c r="U20" s="77" t="str">
        <f>HYPERLINK("https://www.biblegateway.com/passage/?search=Mark 14:12-26", "Mark 14:12-26")</f>
        <v>Mark 14:12-26</v>
      </c>
      <c r="V20" s="83" t="str">
        <f>HYPERLINK("https://www.biblegateway.com/passage/?search=Psalm 116", "116")</f>
        <v>116</v>
      </c>
      <c r="W20" s="75" t="s">
        <v>420</v>
      </c>
      <c r="X20" s="34"/>
      <c r="Y20" s="75" t="s">
        <v>421</v>
      </c>
      <c r="Z20" s="75"/>
      <c r="AA20" s="75" t="s">
        <v>40</v>
      </c>
    </row>
    <row r="21" spans="1:30" ht="15.05">
      <c r="A21" s="16">
        <f t="shared" si="0"/>
        <v>5</v>
      </c>
      <c r="B21" s="95">
        <f>B20+1</f>
        <v>43189</v>
      </c>
      <c r="C21" s="66" t="s">
        <v>423</v>
      </c>
      <c r="D21" s="64" t="s">
        <v>40</v>
      </c>
      <c r="E21" s="118" t="s">
        <v>424</v>
      </c>
      <c r="F21" s="65" t="s">
        <v>44</v>
      </c>
      <c r="G21" s="65" t="str">
        <f t="shared" si="5"/>
        <v>X</v>
      </c>
      <c r="H21" s="110"/>
      <c r="I21" s="110"/>
      <c r="J21" s="96"/>
      <c r="K21" s="120"/>
      <c r="L21" s="121"/>
      <c r="M21" s="122" t="s">
        <v>411</v>
      </c>
      <c r="N21" s="121"/>
      <c r="O21" s="121"/>
      <c r="P21" s="122" t="s">
        <v>429</v>
      </c>
      <c r="Q21" s="123" t="str">
        <f t="shared" ref="Q21:Q22" si="6">HYPERLINK("https://www.biblegateway.com/passage/?search=Isaiah 53:4-6", "Isaiah 53:4-6")</f>
        <v>Isaiah 53:4-6</v>
      </c>
      <c r="R21" s="122" t="s">
        <v>432</v>
      </c>
      <c r="S21" s="123" t="str">
        <f>HYPERLINK("https://www.biblegateway.com/passage/?search=Isaiah 52:13-53:12", "Isaiah 52:13-53:12")</f>
        <v>Isaiah 52:13-53:12</v>
      </c>
      <c r="T21" s="123" t="str">
        <f>HYPERLINK("https://www.biblegateway.com/passage/?search=Hebrew 4:14-16; 5:7-9", "Hebrew 4:14-16; 5:7-9")</f>
        <v>Hebrew 4:14-16; 5:7-9</v>
      </c>
      <c r="U21" s="123" t="str">
        <f>HYPERLINK("https://www.biblegateway.com/passage/?search=John 19:17-30 ", "John 19:17-30 ")</f>
        <v xml:space="preserve">John 19:17-30 </v>
      </c>
      <c r="V21" s="124" t="str">
        <f>HYPERLINK("https://www.biblegateway.com/passage/?search=Psalm 22", "22")</f>
        <v>22</v>
      </c>
      <c r="W21" s="5" t="s">
        <v>437</v>
      </c>
      <c r="X21" s="34"/>
      <c r="Y21" s="125"/>
      <c r="Z21" s="33"/>
      <c r="AA21" s="33" t="s">
        <v>438</v>
      </c>
    </row>
    <row r="22" spans="1:30" ht="15.05">
      <c r="A22" s="16"/>
      <c r="B22" s="17">
        <v>43189</v>
      </c>
      <c r="C22" s="20" t="s">
        <v>320</v>
      </c>
      <c r="D22" s="20" t="s">
        <v>40</v>
      </c>
      <c r="E22" s="20" t="s">
        <v>40</v>
      </c>
      <c r="F22" s="22" t="s">
        <v>44</v>
      </c>
      <c r="G22" s="23"/>
      <c r="H22" s="110"/>
      <c r="I22" s="110"/>
      <c r="J22" s="33"/>
      <c r="K22" s="28" t="str">
        <f>HYPERLINK("https://drive.google.com/drive/folders/1zi3q9drLV95HRr3thjfjBPt0VTnlTlAY","Service Notes")</f>
        <v>Service Notes</v>
      </c>
      <c r="L22" s="25"/>
      <c r="M22" s="20" t="s">
        <v>321</v>
      </c>
      <c r="N22" s="121"/>
      <c r="O22" s="25"/>
      <c r="P22" s="122" t="s">
        <v>429</v>
      </c>
      <c r="Q22" s="123" t="str">
        <f t="shared" si="6"/>
        <v>Isaiah 53:4-6</v>
      </c>
      <c r="R22" s="122" t="s">
        <v>432</v>
      </c>
      <c r="S22" s="123" t="str">
        <f>HYPERLINK("https://www.biblegateway.com/passage/?search=", "")</f>
        <v/>
      </c>
      <c r="T22" s="20"/>
      <c r="U22" s="20"/>
      <c r="V22" s="22"/>
      <c r="W22" s="125" t="s">
        <v>442</v>
      </c>
      <c r="X22" s="34"/>
      <c r="Y22" s="33" t="s">
        <v>152</v>
      </c>
      <c r="Z22" s="33"/>
      <c r="AA22" s="33" t="s">
        <v>40</v>
      </c>
    </row>
    <row r="23" spans="1:30" ht="30.05">
      <c r="A23" s="16">
        <f t="shared" ref="A23:A57" si="7">WEEKNUM(B23,2)-WEEKNUM(DATE(YEAR(B23),MONTH(B23),1),2)+1</f>
        <v>1</v>
      </c>
      <c r="B23" s="17">
        <f>B21+2</f>
        <v>43191</v>
      </c>
      <c r="C23" s="25" t="s">
        <v>326</v>
      </c>
      <c r="D23" s="20" t="s">
        <v>46</v>
      </c>
      <c r="E23" s="20" t="s">
        <v>46</v>
      </c>
      <c r="F23" s="22" t="s">
        <v>64</v>
      </c>
      <c r="G23" s="23" t="str">
        <f t="shared" ref="G23:G61" si="8">IF(OR(A23=2,A23=4,A23=5),"X","")</f>
        <v/>
      </c>
      <c r="H23" s="110"/>
      <c r="I23" s="110"/>
      <c r="J23" s="33"/>
      <c r="K23" s="28" t="str">
        <f>HYPERLINK("https://drive.google.com/drive/u/0/folders/1Be4vUfT4y3H4V9xQhguOSt4c4wbZYQ5A","Service Notes")</f>
        <v>Service Notes</v>
      </c>
      <c r="L23" s="25"/>
      <c r="M23" s="20" t="s">
        <v>411</v>
      </c>
      <c r="N23" s="25"/>
      <c r="O23" s="25"/>
      <c r="P23" s="25"/>
      <c r="Q23" s="31" t="str">
        <f>HYPERLINK("https://www.biblegateway.com/passage/?search=1 Corinthians 15:51-57", "1 Corinthians 15:51-57")</f>
        <v>1 Corinthians 15:51-57</v>
      </c>
      <c r="R23" s="20" t="s">
        <v>447</v>
      </c>
      <c r="S23" s="31" t="str">
        <f>HYPERLINK("https://www.biblegateway.com/passage/?search=Isaiah 12:1-6", "Isaiah 12:1-6")</f>
        <v>Isaiah 12:1-6</v>
      </c>
      <c r="T23" s="31" t="str">
        <f>HYPERLINK("https://www.biblegateway.com/passage/?search=1 Corinthians 15:51-57", "1 Corinthians 15:51-57")</f>
        <v>1 Corinthians 15:51-57</v>
      </c>
      <c r="U23" s="31" t="str">
        <f>HYPERLINK("https://www.biblegateway.com/passage/?search=John 20-1-18 ", "John 20-1-18 ")</f>
        <v xml:space="preserve">John 20-1-18 </v>
      </c>
      <c r="V23" s="135" t="str">
        <f t="shared" ref="V23:V24" si="9">HYPERLINK("https://www.biblegateway.com/passage/?search=Psalm 118", "118")</f>
        <v>118</v>
      </c>
      <c r="W23" s="33" t="s">
        <v>454</v>
      </c>
      <c r="X23" s="34"/>
      <c r="Y23" s="33" t="s">
        <v>455</v>
      </c>
      <c r="Z23" s="33"/>
      <c r="AA23" s="33" t="s">
        <v>438</v>
      </c>
    </row>
    <row r="24" spans="1:30" ht="15.05">
      <c r="A24" s="16">
        <f t="shared" si="7"/>
        <v>1</v>
      </c>
      <c r="B24" s="37">
        <f>B21+2</f>
        <v>43191</v>
      </c>
      <c r="C24" s="25" t="s">
        <v>334</v>
      </c>
      <c r="D24" s="20" t="s">
        <v>43</v>
      </c>
      <c r="E24" s="20" t="s">
        <v>40</v>
      </c>
      <c r="F24" s="22" t="s">
        <v>44</v>
      </c>
      <c r="G24" s="23" t="str">
        <f t="shared" si="8"/>
        <v/>
      </c>
      <c r="H24" s="110"/>
      <c r="I24" s="110"/>
      <c r="J24" s="33"/>
      <c r="K24" s="28" t="str">
        <f>HYPERLINK("https://drive.google.com/drive/u/0/folders/1-gYKlfp6ot_j4SMVN-8IVcnOJqNAGmBo","Service Notes")</f>
        <v>Service Notes</v>
      </c>
      <c r="L24" s="25"/>
      <c r="M24" s="20" t="s">
        <v>411</v>
      </c>
      <c r="N24" s="25"/>
      <c r="O24" s="25"/>
      <c r="P24" s="20" t="s">
        <v>338</v>
      </c>
      <c r="Q24" s="31" t="str">
        <f>HYPERLINK("https://www.biblegateway.com/passage/?search=Mark 16:1-8", "Mark 16:1-8")</f>
        <v>Mark 16:1-8</v>
      </c>
      <c r="R24" s="139" t="s">
        <v>458</v>
      </c>
      <c r="S24" s="31" t="str">
        <f>HYPERLINK("https://www.biblegateway.com/passage/?search=Isaiah 25:6-9", "Isaiah 25:6-9")</f>
        <v>Isaiah 25:6-9</v>
      </c>
      <c r="T24" s="31" t="str">
        <f>HYPERLINK("https://www.biblegateway.com/passage/?search=1 Corinthians 15:19-26", "1 Corinthians 15:19-26")</f>
        <v>1 Corinthians 15:19-26</v>
      </c>
      <c r="U24" s="31" t="str">
        <f>HYPERLINK("https://www.biblegateway.com/passage/?search=Mark 16:1-8 ", "Mark 16:1-8 ")</f>
        <v xml:space="preserve">Mark 16:1-8 </v>
      </c>
      <c r="V24" s="135" t="str">
        <f t="shared" si="9"/>
        <v>118</v>
      </c>
      <c r="W24" s="33" t="s">
        <v>463</v>
      </c>
      <c r="X24" s="34"/>
      <c r="Y24" s="33" t="s">
        <v>152</v>
      </c>
      <c r="Z24" s="33"/>
      <c r="AA24" s="33" t="s">
        <v>438</v>
      </c>
    </row>
    <row r="25" spans="1:30" ht="15.05">
      <c r="A25" s="16">
        <f t="shared" si="7"/>
        <v>2</v>
      </c>
      <c r="B25" s="37">
        <f>B24+7</f>
        <v>43198</v>
      </c>
      <c r="C25" s="25" t="s">
        <v>343</v>
      </c>
      <c r="D25" s="20" t="s">
        <v>63</v>
      </c>
      <c r="E25" s="20" t="s">
        <v>46</v>
      </c>
      <c r="F25" s="22" t="s">
        <v>64</v>
      </c>
      <c r="G25" s="23" t="str">
        <f t="shared" si="8"/>
        <v>X</v>
      </c>
      <c r="H25" s="20"/>
      <c r="I25" s="20"/>
      <c r="J25" s="33"/>
      <c r="K25" s="28" t="str">
        <f>HYPERLINK("https://drive.google.com/drive/folders/1w1HQOuSxxAuzxY4roHO54LI4AEnz_9ia","Service Notes")</f>
        <v>Service Notes</v>
      </c>
      <c r="L25" s="25"/>
      <c r="M25" s="20" t="s">
        <v>465</v>
      </c>
      <c r="N25" s="25"/>
      <c r="O25" s="141"/>
      <c r="P25" s="142" t="s">
        <v>467</v>
      </c>
      <c r="Q25" s="31" t="str">
        <f>HYPERLINK("https://www.biblegateway.com/passage/?search=Act 3:12-20", "Act 3:12-20")</f>
        <v>Act 3:12-20</v>
      </c>
      <c r="R25" s="20" t="s">
        <v>470</v>
      </c>
      <c r="S25" s="31" t="str">
        <f>HYPERLINK("https://www.biblegateway.com/passage/?search=Acts 3:12-20", "Acts 3:12-20")</f>
        <v>Acts 3:12-20</v>
      </c>
      <c r="T25" s="31" t="str">
        <f>HYPERLINK("https://www.biblegateway.com/passage/?search=1 John 5:1-6", "1 John 5:1-6")</f>
        <v>1 John 5:1-6</v>
      </c>
      <c r="U25" s="31" t="str">
        <f>HYPERLINK("https://www.biblegateway.com/passage/?search=John 20:19-31 ", "John 20:19-31 ")</f>
        <v xml:space="preserve">John 20:19-31 </v>
      </c>
      <c r="V25" s="32" t="str">
        <f>HYPERLINK("https://www.biblegateway.com/passage/?search=Psalm 16", "16")</f>
        <v>16</v>
      </c>
      <c r="W25" s="33" t="s">
        <v>473</v>
      </c>
      <c r="X25" s="34"/>
      <c r="Y25" s="33" t="s">
        <v>118</v>
      </c>
      <c r="Z25" s="104"/>
      <c r="AA25" s="104" t="s">
        <v>60</v>
      </c>
    </row>
    <row r="26" spans="1:30" ht="15.05">
      <c r="A26" s="16">
        <f t="shared" si="7"/>
        <v>3</v>
      </c>
      <c r="B26" s="37">
        <f t="shared" ref="B26:B30" si="10">B25+7</f>
        <v>43205</v>
      </c>
      <c r="C26" s="25" t="s">
        <v>359</v>
      </c>
      <c r="D26" s="20" t="s">
        <v>40</v>
      </c>
      <c r="E26" s="20" t="s">
        <v>40</v>
      </c>
      <c r="F26" s="22" t="s">
        <v>476</v>
      </c>
      <c r="G26" s="23" t="str">
        <f t="shared" si="8"/>
        <v/>
      </c>
      <c r="H26" s="20"/>
      <c r="I26" s="20"/>
      <c r="J26" s="26"/>
      <c r="K26" s="28" t="str">
        <f>HYPERLINK("https://drive.google.com/drive/u/0/folders/1Z_IHW_ebPniuIWXJKHh53nUgRhmsa3HN","Service Notes")</f>
        <v>Service Notes</v>
      </c>
      <c r="L26" s="25"/>
      <c r="M26" s="20" t="s">
        <v>91</v>
      </c>
      <c r="N26" s="25"/>
      <c r="O26" s="142"/>
      <c r="P26" s="142" t="s">
        <v>479</v>
      </c>
      <c r="Q26" s="31" t="str">
        <f>HYPERLINK("https://www.biblegateway.com/passage/?search=1 John 1:1-2:2", "1 John 1:1-2:2")</f>
        <v>1 John 1:1-2:2</v>
      </c>
      <c r="R26" s="20" t="s">
        <v>481</v>
      </c>
      <c r="S26" s="31" t="str">
        <f>HYPERLINK("https://www.biblegateway.com/passage/?search=Acts 4:8-12", "Acts 4:8-12")</f>
        <v>Acts 4:8-12</v>
      </c>
      <c r="T26" s="31" t="str">
        <f>HYPERLINK("https://www.biblegateway.com/passage/?search=1 John 1:1-2:2", "1 John 1:1-2:2")</f>
        <v>1 John 1:1-2:2</v>
      </c>
      <c r="U26" s="31" t="str">
        <f>HYPERLINK("https://www.biblegateway.com/passage/?search=Luke 24:36-49 ", "Luke 24:36-49 ")</f>
        <v xml:space="preserve">Luke 24:36-49 </v>
      </c>
      <c r="V26" s="32" t="str">
        <f>HYPERLINK("https://www.biblegateway.com/passage/?search=Psalm 118", "118")</f>
        <v>118</v>
      </c>
      <c r="W26" s="33" t="s">
        <v>486</v>
      </c>
      <c r="X26" s="34"/>
      <c r="Y26" s="33"/>
      <c r="Z26" s="33"/>
      <c r="AA26" s="33" t="s">
        <v>60</v>
      </c>
    </row>
    <row r="27" spans="1:30" ht="15.05">
      <c r="A27" s="16">
        <f t="shared" si="7"/>
        <v>4</v>
      </c>
      <c r="B27" s="37">
        <f t="shared" si="10"/>
        <v>43212</v>
      </c>
      <c r="C27" s="25" t="s">
        <v>369</v>
      </c>
      <c r="D27" s="20" t="s">
        <v>46</v>
      </c>
      <c r="E27" s="20" t="s">
        <v>43</v>
      </c>
      <c r="F27" s="22" t="s">
        <v>144</v>
      </c>
      <c r="G27" s="23" t="str">
        <f t="shared" si="8"/>
        <v>X</v>
      </c>
      <c r="H27" s="20"/>
      <c r="I27" s="20"/>
      <c r="J27" s="33"/>
      <c r="K27" s="28" t="str">
        <f>HYPERLINK("https://drive.google.com/drive/folders/1aTV0c_9pRldFwe-FSyXF8Y1JY4ucDD3s","Service Notes")</f>
        <v>Service Notes</v>
      </c>
      <c r="L27" s="25"/>
      <c r="M27" s="20" t="s">
        <v>490</v>
      </c>
      <c r="N27" s="25"/>
      <c r="O27" s="142"/>
      <c r="P27" s="142" t="s">
        <v>492</v>
      </c>
      <c r="Q27" s="31" t="str">
        <f>HYPERLINK("https://www.biblegateway.com/passage/?search=Acts 4:23-33", "Acts 4:23-33")</f>
        <v>Acts 4:23-33</v>
      </c>
      <c r="R27" s="20" t="s">
        <v>494</v>
      </c>
      <c r="S27" s="31" t="str">
        <f>HYPERLINK("https://www.biblegateway.com/passage/?search=Acts 4:23-33", "Acts 4:23-33")</f>
        <v>Acts 4:23-33</v>
      </c>
      <c r="T27" s="31" t="str">
        <f>HYPERLINK("https://www.biblegateway.com/passage/?search=1 John 3:1,2", "1 John 3:1,2")</f>
        <v>1 John 3:1,2</v>
      </c>
      <c r="U27" s="31" t="str">
        <f>HYPERLINK("https://www.biblegateway.com/passage/?search=John 10:11-18 ", "John 10:11-18 ")</f>
        <v xml:space="preserve">John 10:11-18 </v>
      </c>
      <c r="V27" s="32" t="str">
        <f>HYPERLINK("https://www.biblegateway.com/passage/?search=Psalm 23", "23")</f>
        <v>23</v>
      </c>
      <c r="W27" s="146" t="s">
        <v>498</v>
      </c>
      <c r="X27" s="34"/>
      <c r="Y27" s="33"/>
      <c r="Z27" s="33"/>
      <c r="AA27" s="33" t="s">
        <v>40</v>
      </c>
    </row>
    <row r="28" spans="1:30" ht="26.3">
      <c r="A28" s="16">
        <f t="shared" si="7"/>
        <v>5</v>
      </c>
      <c r="B28" s="37">
        <f t="shared" si="10"/>
        <v>43219</v>
      </c>
      <c r="C28" s="20" t="s">
        <v>382</v>
      </c>
      <c r="D28" s="20" t="s">
        <v>43</v>
      </c>
      <c r="E28" s="20" t="s">
        <v>46</v>
      </c>
      <c r="F28" s="22" t="s">
        <v>44</v>
      </c>
      <c r="G28" s="23" t="str">
        <f t="shared" si="8"/>
        <v>X</v>
      </c>
      <c r="H28" s="20"/>
      <c r="I28" s="20"/>
      <c r="J28" s="33"/>
      <c r="K28" s="28" t="str">
        <f>HYPERLINK("https://drive.google.com/drive/folders/1bZozMRuJTh6cxhNQliS-L0SS-xL0f7vk","Service Notes")</f>
        <v>Service Notes</v>
      </c>
      <c r="L28" s="25"/>
      <c r="M28" s="20" t="s">
        <v>502</v>
      </c>
      <c r="N28" s="25"/>
      <c r="O28" s="142"/>
      <c r="P28" s="142" t="s">
        <v>505</v>
      </c>
      <c r="Q28" s="31" t="str">
        <f>HYPERLINK("https://www.biblegateway.com/passage/?search=John 15:1-8", "John 15:1-8")</f>
        <v>John 15:1-8</v>
      </c>
      <c r="R28" s="20" t="s">
        <v>506</v>
      </c>
      <c r="S28" s="31" t="str">
        <f>HYPERLINK("https://www.biblegateway.com/passage/?search=Acts 8:26-40", "Acts 8:26-40")</f>
        <v>Acts 8:26-40</v>
      </c>
      <c r="T28" s="31" t="str">
        <f>HYPERLINK("https://www.biblegateway.com/passage/?search=1 John 3:18-24", "1 John 3:18-24")</f>
        <v>1 John 3:18-24</v>
      </c>
      <c r="U28" s="31" t="str">
        <f>HYPERLINK("https://www.biblegateway.com/passage/?search=John 15:1-8 ", "John 15:1-8 ")</f>
        <v xml:space="preserve">John 15:1-8 </v>
      </c>
      <c r="V28" s="32" t="str">
        <f>HYPERLINK("https://www.biblegateway.com/passage/?search=Psalm 67", "67")</f>
        <v>67</v>
      </c>
      <c r="W28" s="148" t="s">
        <v>516</v>
      </c>
      <c r="X28" s="34"/>
      <c r="Y28" s="33" t="s">
        <v>380</v>
      </c>
      <c r="Z28" s="33"/>
      <c r="AA28" s="33" t="s">
        <v>60</v>
      </c>
    </row>
    <row r="29" spans="1:30" ht="15.65">
      <c r="A29" s="16">
        <f t="shared" si="7"/>
        <v>1</v>
      </c>
      <c r="B29" s="37">
        <f t="shared" si="10"/>
        <v>43226</v>
      </c>
      <c r="C29" s="25" t="s">
        <v>394</v>
      </c>
      <c r="D29" s="20" t="s">
        <v>40</v>
      </c>
      <c r="E29" s="20" t="s">
        <v>40</v>
      </c>
      <c r="F29" s="22" t="s">
        <v>64</v>
      </c>
      <c r="G29" s="23" t="str">
        <f t="shared" si="8"/>
        <v/>
      </c>
      <c r="H29" s="20"/>
      <c r="I29" s="20"/>
      <c r="J29" s="33"/>
      <c r="K29" s="28" t="str">
        <f>HYPERLINK("https://drive.google.com/drive/u/0/folders/1c7K7ROJjqksea30LYt6q2-7Cs7q36qwg","Service Notes")</f>
        <v>Service Notes</v>
      </c>
      <c r="L29" s="25"/>
      <c r="M29" s="20" t="s">
        <v>52</v>
      </c>
      <c r="N29" s="25"/>
      <c r="O29" s="20"/>
      <c r="P29" s="25"/>
      <c r="Q29" s="31" t="str">
        <f>HYPERLINK("https://www.biblegateway.com/passage/?search=1 John 4:7-11", "1 John 4:7-11")</f>
        <v>1 John 4:7-11</v>
      </c>
      <c r="R29" s="108" t="s">
        <v>525</v>
      </c>
      <c r="S29" s="31" t="str">
        <f>HYPERLINK("https://www.biblegateway.com/passage/?search=Acts 11:19-26", "Acts 11:19-26")</f>
        <v>Acts 11:19-26</v>
      </c>
      <c r="T29" s="31" t="str">
        <f>HYPERLINK("https://www.biblegateway.com/passage/?search=1 John 4:1-11", "1 John 4:1-11")</f>
        <v>1 John 4:1-11</v>
      </c>
      <c r="U29" s="31" t="str">
        <f>HYPERLINK("https://www.biblegateway.com/passage/?search=John 15:9-17 ", "John 15:9-17 ")</f>
        <v xml:space="preserve">John 15:9-17 </v>
      </c>
      <c r="V29" s="135" t="str">
        <f t="shared" ref="V29:V30" si="11">HYPERLINK("https://www.biblegateway.com/passage/?search=Psalm none", "none")</f>
        <v>none</v>
      </c>
      <c r="W29" s="33" t="s">
        <v>531</v>
      </c>
      <c r="X29" s="34"/>
      <c r="Y29" s="33" t="s">
        <v>533</v>
      </c>
      <c r="Z29" s="104"/>
      <c r="AA29" s="150" t="s">
        <v>60</v>
      </c>
    </row>
    <row r="30" spans="1:30" ht="30.05">
      <c r="A30" s="16">
        <f t="shared" si="7"/>
        <v>2</v>
      </c>
      <c r="B30" s="37">
        <f t="shared" si="10"/>
        <v>43233</v>
      </c>
      <c r="C30" s="20" t="s">
        <v>536</v>
      </c>
      <c r="D30" s="20" t="s">
        <v>46</v>
      </c>
      <c r="E30" s="20" t="s">
        <v>43</v>
      </c>
      <c r="F30" s="22" t="s">
        <v>476</v>
      </c>
      <c r="G30" s="23" t="str">
        <f t="shared" si="8"/>
        <v>X</v>
      </c>
      <c r="H30" s="27"/>
      <c r="I30" s="27"/>
      <c r="J30" s="33" t="s">
        <v>1468</v>
      </c>
      <c r="K30" s="28" t="str">
        <f>HYPERLINK("https://drive.google.com/drive/folders/17H6_gkqSr-xsHK69OfpKqIJybhuyMaiY","Service Notes")</f>
        <v>Service Notes</v>
      </c>
      <c r="L30" s="25"/>
      <c r="M30" s="20" t="s">
        <v>514</v>
      </c>
      <c r="N30" s="25"/>
      <c r="O30" s="25"/>
      <c r="P30" s="25"/>
      <c r="Q30" s="31" t="str">
        <f>HYPERLINK("https://www.biblegateway.com/passage/?search=John 17:11b-19", "John 17:11b-19")</f>
        <v>John 17:11b-19</v>
      </c>
      <c r="R30" s="20" t="s">
        <v>538</v>
      </c>
      <c r="S30" s="31" t="str">
        <f>HYPERLINK("https://www.biblegateway.com/passage/?search=Acts 1:15-26", "Acts 1:15-26")</f>
        <v>Acts 1:15-26</v>
      </c>
      <c r="T30" s="31" t="str">
        <f>HYPERLINK("https://www.biblegateway.com/passage/?search=1 John 4:13-21", "1 John 4:13-21")</f>
        <v>1 John 4:13-21</v>
      </c>
      <c r="U30" s="31" t="str">
        <f>HYPERLINK("https://www.biblegateway.com/passage/?search=John 17:11b-19", "John 17:11b-19")</f>
        <v>John 17:11b-19</v>
      </c>
      <c r="V30" s="135" t="str">
        <f t="shared" si="11"/>
        <v>none</v>
      </c>
      <c r="W30" s="107" t="s">
        <v>541</v>
      </c>
      <c r="X30" s="34"/>
      <c r="Y30" s="33" t="s">
        <v>542</v>
      </c>
      <c r="Z30" s="33"/>
      <c r="AA30" s="150" t="s">
        <v>60</v>
      </c>
    </row>
    <row r="31" spans="1:30" ht="15.05">
      <c r="A31" s="16">
        <f t="shared" si="7"/>
        <v>3</v>
      </c>
      <c r="B31" s="112">
        <f t="shared" ref="B31:B32" si="12">B30+7</f>
        <v>43240</v>
      </c>
      <c r="C31" s="114" t="s">
        <v>545</v>
      </c>
      <c r="D31" s="114" t="s">
        <v>43</v>
      </c>
      <c r="E31" s="114" t="s">
        <v>46</v>
      </c>
      <c r="F31" s="115" t="s">
        <v>44</v>
      </c>
      <c r="G31" s="115" t="str">
        <f t="shared" si="8"/>
        <v/>
      </c>
      <c r="H31" s="27"/>
      <c r="I31" s="27"/>
      <c r="J31" s="117"/>
      <c r="K31" s="119" t="str">
        <f>HYPERLINK("https://drive.google.com/drive/folders/18bXZAWdusBvPo8ZqJNnT9WIBxFv7LSL6","Service Notes")</f>
        <v>Service Notes</v>
      </c>
      <c r="L31" s="113"/>
      <c r="M31" s="114" t="s">
        <v>91</v>
      </c>
      <c r="N31" s="113"/>
      <c r="O31" s="113"/>
      <c r="P31" s="113"/>
      <c r="Q31" s="151" t="str">
        <f>HYPERLINK("https://www.biblegateway.com/passage/?search=Ezekiel 37:1-14", "Ezekiel 37:1-14")</f>
        <v>Ezekiel 37:1-14</v>
      </c>
      <c r="R31" s="114" t="s">
        <v>551</v>
      </c>
      <c r="S31" s="151" t="str">
        <f>HYPERLINK("https://www.biblegateway.com/passage/?search=Ezekiel 37:1-14", "Ezekiel 37:1-14")</f>
        <v>Ezekiel 37:1-14</v>
      </c>
      <c r="T31" s="151" t="str">
        <f>HYPERLINK("https://www.biblegateway.com/passage/?search=Acts 2:1-21", "Acts 2:1-21")</f>
        <v>Acts 2:1-21</v>
      </c>
      <c r="U31" s="151" t="str">
        <f>HYPERLINK("https://www.biblegateway.com/passage/?search=John 14:25-27 ", "John 14:25-27 ")</f>
        <v xml:space="preserve">John 14:25-27 </v>
      </c>
      <c r="V31" s="152" t="str">
        <f>HYPERLINK("https://www.biblegateway.com/passage/?search=Psalm 51b", "51b")</f>
        <v>51b</v>
      </c>
      <c r="W31" s="116" t="s">
        <v>556</v>
      </c>
      <c r="X31" s="34"/>
      <c r="Y31" s="116" t="s">
        <v>152</v>
      </c>
      <c r="Z31" s="116"/>
      <c r="AA31" s="153" t="s">
        <v>557</v>
      </c>
    </row>
    <row r="32" spans="1:30" ht="15.05">
      <c r="A32" s="16">
        <f t="shared" si="7"/>
        <v>4</v>
      </c>
      <c r="B32" s="37">
        <f t="shared" si="12"/>
        <v>43247</v>
      </c>
      <c r="C32" s="25" t="s">
        <v>439</v>
      </c>
      <c r="D32" s="20" t="s">
        <v>40</v>
      </c>
      <c r="E32" s="20" t="s">
        <v>46</v>
      </c>
      <c r="F32" s="22" t="s">
        <v>64</v>
      </c>
      <c r="G32" s="23" t="str">
        <f t="shared" si="8"/>
        <v>X</v>
      </c>
      <c r="H32" s="25"/>
      <c r="I32" s="20"/>
      <c r="J32" s="33" t="s">
        <v>1471</v>
      </c>
      <c r="K32" s="28" t="str">
        <f>HYPERLINK("https://drive.google.com/drive/folders/1H-3rO0KOn809OJ7P0J5OilHevOPYyrqg","Service Notes")</f>
        <v>Service Notes</v>
      </c>
      <c r="L32" s="25"/>
      <c r="M32" s="20" t="s">
        <v>490</v>
      </c>
      <c r="N32" s="25"/>
      <c r="O32" s="25"/>
      <c r="P32" s="25"/>
      <c r="Q32" s="31" t="str">
        <f>HYPERLINK("https://www.biblegateway.com/passage/?search=John 3:1-17", "John 3:1-17")</f>
        <v>John 3:1-17</v>
      </c>
      <c r="R32" s="20" t="s">
        <v>565</v>
      </c>
      <c r="S32" s="31" t="str">
        <f>HYPERLINK("https://www.biblegateway.com/passage/?search=Isaiah 6:1-8", "Isaiah 6:1-8")</f>
        <v>Isaiah 6:1-8</v>
      </c>
      <c r="T32" s="31" t="str">
        <f>HYPERLINK("https://www.biblegateway.com/passage/?search=Romans 8:14-17", "Romans 8:14-17")</f>
        <v>Romans 8:14-17</v>
      </c>
      <c r="U32" s="31" t="str">
        <f>HYPERLINK("https://www.biblegateway.com/passage/?search=John 3:1-17 ", "John 3:1-17 ")</f>
        <v xml:space="preserve">John 3:1-17 </v>
      </c>
      <c r="V32" s="32" t="str">
        <f>HYPERLINK("https://www.biblegateway.com/passage/?search=Psalm 150", "150")</f>
        <v>150</v>
      </c>
      <c r="W32" s="33" t="s">
        <v>566</v>
      </c>
      <c r="X32" s="34"/>
      <c r="Y32" s="33" t="s">
        <v>567</v>
      </c>
      <c r="Z32" s="155"/>
      <c r="AA32" s="157" t="s">
        <v>557</v>
      </c>
      <c r="AC32" s="158"/>
      <c r="AD32" s="158"/>
    </row>
    <row r="33" spans="1:27" ht="15.05">
      <c r="A33" s="16">
        <f t="shared" si="7"/>
        <v>1</v>
      </c>
      <c r="B33" s="41">
        <f t="shared" ref="B33:B45" si="13">B32+7</f>
        <v>43254</v>
      </c>
      <c r="C33" s="43" t="s">
        <v>568</v>
      </c>
      <c r="D33" s="43" t="s">
        <v>46</v>
      </c>
      <c r="E33" s="43" t="s">
        <v>46</v>
      </c>
      <c r="F33" s="44" t="s">
        <v>64</v>
      </c>
      <c r="G33" s="44" t="str">
        <f t="shared" si="8"/>
        <v/>
      </c>
      <c r="H33" s="51"/>
      <c r="I33" s="43"/>
      <c r="J33" s="47"/>
      <c r="K33" s="160" t="str">
        <f>HYPERLINK("https://drive.google.com/drive/folders/15EGQkci-5dWBjbnJacC19qGjZ6YqB7tS","Service Notes")</f>
        <v>Service Notes</v>
      </c>
      <c r="L33" s="56" t="s">
        <v>574</v>
      </c>
      <c r="M33" s="161" t="s">
        <v>91</v>
      </c>
      <c r="N33" s="43" t="s">
        <v>576</v>
      </c>
      <c r="O33" s="51"/>
      <c r="P33" s="51"/>
      <c r="Q33" s="52" t="str">
        <f>HYPERLINK("https://www.biblegateway.com/passage/?search=Galatians 5:22,23; 1 Corinthians 13:1-8b", "Galatians 5:22,23; 1 Corinthians 13:1-8b")</f>
        <v>Galatians 5:22,23; 1 Corinthians 13:1-8b</v>
      </c>
      <c r="R33" s="43" t="s">
        <v>578</v>
      </c>
      <c r="S33" s="52" t="str">
        <f>HYPERLINK("https://www.biblegateway.com/passage/?search=Deuteronomy 5:12-15", "Deuteronomy 5:12-15")</f>
        <v>Deuteronomy 5:12-15</v>
      </c>
      <c r="T33" s="52" t="str">
        <f>HYPERLINK("https://www.biblegateway.com/passage/?search=2 Corinthians 4:5-12", "2 Corinthians 4:5-12")</f>
        <v>2 Corinthians 4:5-12</v>
      </c>
      <c r="U33" s="52" t="str">
        <f>HYPERLINK("https://www.biblegateway.com/passage/?search=Mark 2:23-28", "Mark 2:23-28")</f>
        <v>Mark 2:23-28</v>
      </c>
      <c r="V33" s="54" t="str">
        <f>HYPERLINK("https://www.biblegateway.com/passage/?search=Psalm 126", "126")</f>
        <v>126</v>
      </c>
      <c r="W33" s="47" t="s">
        <v>584</v>
      </c>
      <c r="X33" s="163"/>
      <c r="Y33" s="47" t="s">
        <v>587</v>
      </c>
      <c r="Z33" s="164"/>
      <c r="AA33" s="165" t="s">
        <v>590</v>
      </c>
    </row>
    <row r="34" spans="1:27" ht="15.05">
      <c r="A34" s="16">
        <f t="shared" si="7"/>
        <v>2</v>
      </c>
      <c r="B34" s="41">
        <f t="shared" si="13"/>
        <v>43261</v>
      </c>
      <c r="C34" s="43" t="s">
        <v>592</v>
      </c>
      <c r="D34" s="43" t="s">
        <v>63</v>
      </c>
      <c r="E34" s="43" t="s">
        <v>40</v>
      </c>
      <c r="F34" s="44" t="s">
        <v>593</v>
      </c>
      <c r="G34" s="44" t="str">
        <f t="shared" si="8"/>
        <v>X</v>
      </c>
      <c r="H34" s="51"/>
      <c r="I34" s="166"/>
      <c r="J34" s="47" t="s">
        <v>1470</v>
      </c>
      <c r="K34" s="56"/>
      <c r="L34" s="51"/>
      <c r="M34" s="43" t="s">
        <v>595</v>
      </c>
      <c r="N34" s="43" t="s">
        <v>596</v>
      </c>
      <c r="O34" s="51"/>
      <c r="P34" s="51"/>
      <c r="Q34" s="52" t="str">
        <f>HYPERLINK("https://www.biblegateway.com/passage/?search=Galatians 5:22,23; Philippians 4:4", "Galatians 5:22,23; Philippians 4:4")</f>
        <v>Galatians 5:22,23; Philippians 4:4</v>
      </c>
      <c r="R34" s="43"/>
      <c r="S34" s="52" t="str">
        <f>HYPERLINK("https://www.biblegateway.com/passage/?search=Genesis 3:8-15", "Genesis 3:8-15")</f>
        <v>Genesis 3:8-15</v>
      </c>
      <c r="T34" s="52" t="str">
        <f>HYPERLINK("https://www.biblegateway.com/passage/?search=2 Corinthians 4:13-18", "2 Corinthians 4:13-18")</f>
        <v>2 Corinthians 4:13-18</v>
      </c>
      <c r="U34" s="52" t="str">
        <f>HYPERLINK("https://www.biblegateway.com/passage/?search=Mark 3:20-35", "Mark 3:20-35")</f>
        <v>Mark 3:20-35</v>
      </c>
      <c r="V34" s="44" t="s">
        <v>599</v>
      </c>
      <c r="W34" s="169" t="s">
        <v>600</v>
      </c>
      <c r="X34" s="163"/>
      <c r="Y34" s="47" t="s">
        <v>603</v>
      </c>
      <c r="Z34" s="47"/>
      <c r="AA34" s="165" t="s">
        <v>590</v>
      </c>
    </row>
    <row r="35" spans="1:27" ht="15.05">
      <c r="A35" s="16">
        <f t="shared" si="7"/>
        <v>3</v>
      </c>
      <c r="B35" s="41">
        <f t="shared" si="13"/>
        <v>43268</v>
      </c>
      <c r="C35" s="43" t="s">
        <v>604</v>
      </c>
      <c r="D35" s="43" t="s">
        <v>43</v>
      </c>
      <c r="E35" s="43" t="s">
        <v>43</v>
      </c>
      <c r="F35" s="44" t="s">
        <v>64</v>
      </c>
      <c r="G35" s="44" t="str">
        <f t="shared" si="8"/>
        <v/>
      </c>
      <c r="H35" s="51"/>
      <c r="I35" s="43"/>
      <c r="J35" s="47"/>
      <c r="K35" s="56"/>
      <c r="L35" s="51"/>
      <c r="M35" s="43" t="s">
        <v>52</v>
      </c>
      <c r="N35" s="43" t="s">
        <v>606</v>
      </c>
      <c r="O35" s="51"/>
      <c r="P35" s="51"/>
      <c r="Q35" s="52" t="str">
        <f>HYPERLINK("https://www.biblegateway.com/passage/?search=Galatians 5:22,23; Philippians 4:4-7", "Galatians 5:22,23; Philippians 4:4-7")</f>
        <v>Galatians 5:22,23; Philippians 4:4-7</v>
      </c>
      <c r="R35" s="43"/>
      <c r="S35" s="52" t="str">
        <f>HYPERLINK("https://www.biblegateway.com/passage/?search=Ezekiel 17:22-24", "Ezekiel 17:22-24")</f>
        <v>Ezekiel 17:22-24</v>
      </c>
      <c r="T35" s="52" t="str">
        <f>HYPERLINK("https://www.biblegateway.com/passage/?search=2 Corinthians 5:1-10", "2 Corinthians 5:1-10")</f>
        <v>2 Corinthians 5:1-10</v>
      </c>
      <c r="U35" s="52" t="str">
        <f>HYPERLINK("https://www.biblegateway.com/passage/?search=Mark 4:26-34", "Mark 4:26-34")</f>
        <v>Mark 4:26-34</v>
      </c>
      <c r="V35" s="54" t="str">
        <f>HYPERLINK("https://www.biblegateway.com/passage/?search=Psalm 92", "92")</f>
        <v>92</v>
      </c>
      <c r="W35" s="171">
        <v>255528755250</v>
      </c>
      <c r="X35" s="163"/>
      <c r="Y35" s="47" t="s">
        <v>603</v>
      </c>
      <c r="Z35" s="47"/>
      <c r="AA35" s="165" t="s">
        <v>590</v>
      </c>
    </row>
    <row r="36" spans="1:27" ht="15.05">
      <c r="A36" s="16">
        <f t="shared" si="7"/>
        <v>4</v>
      </c>
      <c r="B36" s="41">
        <f t="shared" si="13"/>
        <v>43275</v>
      </c>
      <c r="C36" s="43" t="s">
        <v>612</v>
      </c>
      <c r="D36" s="43" t="s">
        <v>40</v>
      </c>
      <c r="E36" s="43" t="s">
        <v>46</v>
      </c>
      <c r="F36" s="44" t="s">
        <v>44</v>
      </c>
      <c r="G36" s="44" t="str">
        <f t="shared" si="8"/>
        <v>X</v>
      </c>
      <c r="H36" s="51"/>
      <c r="I36" s="43"/>
      <c r="J36" s="47"/>
      <c r="K36" s="56"/>
      <c r="L36" s="51"/>
      <c r="M36" s="43" t="s">
        <v>490</v>
      </c>
      <c r="N36" s="43" t="s">
        <v>615</v>
      </c>
      <c r="O36" s="51"/>
      <c r="P36" s="51"/>
      <c r="Q36" s="52" t="str">
        <f>HYPERLINK("https://www.biblegateway.com/passage/?search=Galatians 5:22,23; James 5:7-11", "Galatians 5:22,23; James 5:7-11")</f>
        <v>Galatians 5:22,23; James 5:7-11</v>
      </c>
      <c r="R36" s="43"/>
      <c r="S36" s="52" t="str">
        <f>HYPERLINK("https://www.biblegateway.com/passage/?search=Job 38:1-11", "Job 38:1-11")</f>
        <v>Job 38:1-11</v>
      </c>
      <c r="T36" s="52" t="str">
        <f>HYPERLINK("https://www.biblegateway.com/passage/?search=2 Corinthians 5:14-21", "2 Corinthians 5:14-21")</f>
        <v>2 Corinthians 5:14-21</v>
      </c>
      <c r="U36" s="52" t="str">
        <f>HYPERLINK("https://www.biblegateway.com/passage/?search=Mark 4:35-41", "Mark 4:35-41")</f>
        <v>Mark 4:35-41</v>
      </c>
      <c r="V36" s="44">
        <v>46</v>
      </c>
      <c r="W36" s="171">
        <v>452422451742752</v>
      </c>
      <c r="X36" s="163"/>
      <c r="Y36" s="47" t="s">
        <v>603</v>
      </c>
      <c r="Z36" s="47"/>
      <c r="AA36" s="165" t="s">
        <v>590</v>
      </c>
    </row>
    <row r="37" spans="1:27" ht="15.05">
      <c r="A37" s="16">
        <f t="shared" si="7"/>
        <v>1</v>
      </c>
      <c r="B37" s="41">
        <f t="shared" si="13"/>
        <v>43282</v>
      </c>
      <c r="C37" s="43" t="s">
        <v>619</v>
      </c>
      <c r="D37" s="43" t="s">
        <v>43</v>
      </c>
      <c r="E37" s="43" t="s">
        <v>43</v>
      </c>
      <c r="F37" s="44" t="s">
        <v>620</v>
      </c>
      <c r="G37" s="45" t="str">
        <f t="shared" si="8"/>
        <v/>
      </c>
      <c r="H37" s="51"/>
      <c r="I37" s="43"/>
      <c r="J37" s="47"/>
      <c r="K37" s="56"/>
      <c r="L37" s="51"/>
      <c r="M37" s="43" t="s">
        <v>52</v>
      </c>
      <c r="N37" s="43" t="s">
        <v>621</v>
      </c>
      <c r="O37" s="51"/>
      <c r="P37" s="51"/>
      <c r="Q37" s="52" t="str">
        <f>HYPERLINK("https://www.biblegateway.com/passage/?search=Galatians 5:22,23: Isaiah 63:7-9", "Galatians 5:22,23: Isaiah 63:7-9")</f>
        <v>Galatians 5:22,23: Isaiah 63:7-9</v>
      </c>
      <c r="R37" s="43"/>
      <c r="S37" s="52" t="str">
        <f>HYPERLINK("https://www.biblegateway.com/passage/?search=Lament 3:22-33", "Lament 3:22-33")</f>
        <v>Lament 3:22-33</v>
      </c>
      <c r="T37" s="52" t="str">
        <f>HYPERLINK("https://www.biblegateway.com/passage/?search=2 Corinthians 8:1-9,13,14", "2 Corinthians 8:1-9,13,14")</f>
        <v>2 Corinthians 8:1-9,13,14</v>
      </c>
      <c r="U37" s="52" t="str">
        <f>HYPERLINK("https://www.biblegateway.com/passage/?search=Mark 5:21-24a,35-43", "Mark 5:21-24a,35-43")</f>
        <v>Mark 5:21-24a,35-43</v>
      </c>
      <c r="V37" s="44">
        <v>30</v>
      </c>
      <c r="W37" s="47" t="s">
        <v>626</v>
      </c>
      <c r="X37" s="163"/>
      <c r="Y37" s="47" t="s">
        <v>603</v>
      </c>
      <c r="Z37" s="47"/>
      <c r="AA37" s="165" t="s">
        <v>627</v>
      </c>
    </row>
    <row r="38" spans="1:27" ht="15.05">
      <c r="A38" s="16">
        <f t="shared" si="7"/>
        <v>2</v>
      </c>
      <c r="B38" s="41">
        <f t="shared" si="13"/>
        <v>43289</v>
      </c>
      <c r="C38" s="43" t="s">
        <v>628</v>
      </c>
      <c r="D38" s="43" t="s">
        <v>46</v>
      </c>
      <c r="E38" s="43" t="s">
        <v>40</v>
      </c>
      <c r="F38" s="44" t="s">
        <v>44</v>
      </c>
      <c r="G38" s="44" t="str">
        <f t="shared" si="8"/>
        <v>X</v>
      </c>
      <c r="H38" s="51"/>
      <c r="I38" s="43"/>
      <c r="J38" s="47"/>
      <c r="K38" s="56"/>
      <c r="L38" s="51"/>
      <c r="M38" s="43" t="s">
        <v>83</v>
      </c>
      <c r="N38" s="43" t="s">
        <v>629</v>
      </c>
      <c r="O38" s="51"/>
      <c r="P38" s="51"/>
      <c r="Q38" s="49" t="str">
        <f>HYPERLINK("https://www.biblegateway.com/passage/?search=Galatians 5:22,23; Psalm 116:1-14", "Galatians 5:22,23; Psalm 116:1-14")</f>
        <v>Galatians 5:22,23; Psalm 116:1-14</v>
      </c>
      <c r="R38" s="43"/>
      <c r="S38" s="49" t="str">
        <f>HYPERLINK("https://www.biblegateway.com/passage/?search=Ezekiel%202:1-5","Ezekiel 2:1-5")</f>
        <v>Ezekiel 2:1-5</v>
      </c>
      <c r="T38" s="49" t="str">
        <f>HYPERLINK("https://www.biblegateway.com/passage/?search=2%20Corinthians%2012:7-10","2 Corinth 12:7-10")</f>
        <v>2 Corinth 12:7-10</v>
      </c>
      <c r="U38" s="49" t="str">
        <f>HYPERLINK("https://www.biblegateway.com/passage/?search=Mark+6:1-6","Mark 6:1-6")</f>
        <v>Mark 6:1-6</v>
      </c>
      <c r="V38" s="54" t="str">
        <f>HYPERLINK("https://www.biblegateway.com/passage/?search=Psalm 143", "143")</f>
        <v>143</v>
      </c>
      <c r="W38" s="47" t="s">
        <v>632</v>
      </c>
      <c r="X38" s="163"/>
      <c r="Y38" s="47" t="s">
        <v>603</v>
      </c>
      <c r="Z38" s="47"/>
      <c r="AA38" s="165" t="s">
        <v>627</v>
      </c>
    </row>
    <row r="39" spans="1:27" ht="15.05">
      <c r="A39" s="16">
        <f t="shared" si="7"/>
        <v>3</v>
      </c>
      <c r="B39" s="41">
        <f t="shared" si="13"/>
        <v>43296</v>
      </c>
      <c r="C39" s="43" t="s">
        <v>634</v>
      </c>
      <c r="D39" s="43" t="s">
        <v>43</v>
      </c>
      <c r="E39" s="43" t="s">
        <v>43</v>
      </c>
      <c r="F39" s="44" t="s">
        <v>64</v>
      </c>
      <c r="G39" s="44" t="str">
        <f t="shared" si="8"/>
        <v/>
      </c>
      <c r="H39" s="43"/>
      <c r="I39" s="43"/>
      <c r="J39" s="47" t="s">
        <v>1472</v>
      </c>
      <c r="K39" s="56"/>
      <c r="L39" s="51"/>
      <c r="M39" s="43" t="s">
        <v>91</v>
      </c>
      <c r="N39" s="43" t="s">
        <v>636</v>
      </c>
      <c r="O39" s="51"/>
      <c r="P39" s="51"/>
      <c r="Q39" s="49" t="str">
        <f>HYPERLINK("https://www.biblegateway.com/passage/?search=Galatians 5:22,23: Matthew 25:14-30", "Galatians 5:22,23: Matthew 25:14-30")</f>
        <v>Galatians 5:22,23: Matthew 25:14-30</v>
      </c>
      <c r="R39" s="43"/>
      <c r="S39" s="49" t="str">
        <f>HYPERLINK("https://www.biblegateway.com/passage/?search=Amos+7:10-15","Amos 7:10-15")</f>
        <v>Amos 7:10-15</v>
      </c>
      <c r="T39" s="49" t="str">
        <f>HYPERLINK("https://www.biblegateway.com/passage/?search=Ephesians%201:3-14","Ephesians 1:3-14")</f>
        <v>Ephesians 1:3-14</v>
      </c>
      <c r="U39" s="49" t="str">
        <f>HYPERLINK("https://www.biblegateway.com/passage/?search=Mark%206:7-13","Mark 6:7-13")</f>
        <v>Mark 6:7-13</v>
      </c>
      <c r="V39" s="44">
        <v>78</v>
      </c>
      <c r="W39" s="171" t="s">
        <v>638</v>
      </c>
      <c r="X39" s="163"/>
      <c r="Y39" s="47" t="s">
        <v>603</v>
      </c>
      <c r="Z39" s="47"/>
      <c r="AA39" s="165" t="s">
        <v>627</v>
      </c>
    </row>
    <row r="40" spans="1:27" ht="15.05">
      <c r="A40" s="16">
        <f t="shared" si="7"/>
        <v>4</v>
      </c>
      <c r="B40" s="41">
        <f t="shared" si="13"/>
        <v>43303</v>
      </c>
      <c r="C40" s="43" t="s">
        <v>639</v>
      </c>
      <c r="D40" s="43" t="s">
        <v>63</v>
      </c>
      <c r="E40" s="43" t="s">
        <v>43</v>
      </c>
      <c r="F40" s="44" t="s">
        <v>64</v>
      </c>
      <c r="G40" s="44" t="str">
        <f t="shared" si="8"/>
        <v>X</v>
      </c>
      <c r="H40" s="43"/>
      <c r="I40" s="43"/>
      <c r="J40" s="47"/>
      <c r="K40" s="56"/>
      <c r="L40" s="43"/>
      <c r="M40" s="43" t="s">
        <v>490</v>
      </c>
      <c r="N40" s="43" t="s">
        <v>640</v>
      </c>
      <c r="O40" s="51"/>
      <c r="P40" s="43" t="s">
        <v>550</v>
      </c>
      <c r="Q40" s="49" t="str">
        <f>HYPERLINK("https://www.biblegateway.com/passage/?search=Galatians 5:22,23; Proverbs 15:1-3", "Galatians 5:22,23; Proverbs 15:1-3")</f>
        <v>Galatians 5:22,23; Proverbs 15:1-3</v>
      </c>
      <c r="R40" s="43"/>
      <c r="S40" s="49" t="str">
        <f>HYPERLINK("https://www.biblegateway.com/passage/?search=Jeremiah%2023:1-6","Jeremiah 23:1-6")</f>
        <v>Jeremiah 23:1-6</v>
      </c>
      <c r="T40" s="49" t="str">
        <f>HYPERLINK("https://www.biblegateway.com/passage/?search=Ephesians+2%3A13-22","Ephesians 2:13-22")</f>
        <v>Ephesians 2:13-22</v>
      </c>
      <c r="U40" s="49" t="str">
        <f>HYPERLINK("https://www.biblegateway.com/passage/?search=Mark%206:30-34","Mark 6:30-34")</f>
        <v>Mark 6:30-34</v>
      </c>
      <c r="V40" s="54" t="str">
        <f>HYPERLINK("https://www.biblegateway.com/passage/?search=Psalm 23", "23")</f>
        <v>23</v>
      </c>
      <c r="W40" s="47" t="s">
        <v>643</v>
      </c>
      <c r="X40" s="163"/>
      <c r="Y40" s="47" t="s">
        <v>603</v>
      </c>
      <c r="Z40" s="47"/>
      <c r="AA40" s="165" t="s">
        <v>627</v>
      </c>
    </row>
    <row r="41" spans="1:27" ht="30.05">
      <c r="A41" s="16">
        <f t="shared" si="7"/>
        <v>5</v>
      </c>
      <c r="B41" s="41">
        <f t="shared" si="13"/>
        <v>43310</v>
      </c>
      <c r="C41" s="43" t="s">
        <v>644</v>
      </c>
      <c r="D41" s="43" t="s">
        <v>46</v>
      </c>
      <c r="E41" s="43" t="s">
        <v>43</v>
      </c>
      <c r="F41" s="44" t="s">
        <v>645</v>
      </c>
      <c r="G41" s="44" t="str">
        <f t="shared" si="8"/>
        <v>X</v>
      </c>
      <c r="H41" s="43"/>
      <c r="I41" s="43"/>
      <c r="J41" s="154"/>
      <c r="K41" s="56"/>
      <c r="L41" s="51"/>
      <c r="M41" s="156" t="s">
        <v>126</v>
      </c>
      <c r="N41" s="43" t="s">
        <v>646</v>
      </c>
      <c r="O41" s="51"/>
      <c r="P41" s="43" t="s">
        <v>176</v>
      </c>
      <c r="Q41" s="49" t="str">
        <f>HYPERLINK("https://www.biblegateway.com/passage/?search=Galatians 5:22,23; Titus 2:2-14", "Galatians 5:22,23; Titus 2:2-14")</f>
        <v>Galatians 5:22,23; Titus 2:2-14</v>
      </c>
      <c r="R41" s="43"/>
      <c r="S41" s="49" t="str">
        <f>HYPERLINK("https://www.biblegateway.com/passage/?search=Exodus+24%3A3-11&amp;version=ESV","Exodus 24:3-11")</f>
        <v>Exodus 24:3-11</v>
      </c>
      <c r="T41" s="43" t="s">
        <v>648</v>
      </c>
      <c r="U41" s="49" t="str">
        <f>HYPERLINK("https://www.biblegateway.com/passage/?search=John%206:1-15","John 6:1-15")</f>
        <v>John 6:1-15</v>
      </c>
      <c r="V41" s="54" t="str">
        <f>HYPERLINK("https://www.biblegateway.com/passage/?search=Psalm 84", "84")</f>
        <v>84</v>
      </c>
      <c r="W41" s="47" t="s">
        <v>649</v>
      </c>
      <c r="X41" s="125"/>
      <c r="Y41" s="47" t="s">
        <v>603</v>
      </c>
      <c r="Z41" s="47"/>
      <c r="AA41" s="165" t="s">
        <v>627</v>
      </c>
    </row>
    <row r="42" spans="1:27" ht="15.05">
      <c r="A42" s="16">
        <f t="shared" si="7"/>
        <v>1</v>
      </c>
      <c r="B42" s="41">
        <f t="shared" si="13"/>
        <v>43317</v>
      </c>
      <c r="C42" s="43" t="s">
        <v>651</v>
      </c>
      <c r="D42" s="43" t="s">
        <v>43</v>
      </c>
      <c r="E42" s="43" t="s">
        <v>40</v>
      </c>
      <c r="F42" s="44" t="s">
        <v>652</v>
      </c>
      <c r="G42" s="44" t="str">
        <f t="shared" si="8"/>
        <v/>
      </c>
      <c r="H42" s="44"/>
      <c r="I42" s="43"/>
      <c r="J42" s="47"/>
      <c r="K42" s="56"/>
      <c r="L42" s="59"/>
      <c r="M42" s="43" t="s">
        <v>52</v>
      </c>
      <c r="N42" s="51"/>
      <c r="O42" s="51"/>
      <c r="P42" s="43" t="s">
        <v>591</v>
      </c>
      <c r="Q42" s="49" t="str">
        <f>HYPERLINK("https://www.biblegateway.com/passage/?search=John 6:24-35", "John 6:24-35")</f>
        <v>John 6:24-35</v>
      </c>
      <c r="R42" s="43"/>
      <c r="S42" s="49" t="str">
        <f>HYPERLINK("https://www.biblegateway.com/passage/?search=Exodus%2016:2-15","Exodus 16:2-15")</f>
        <v>Exodus 16:2-15</v>
      </c>
      <c r="T42" s="49" t="str">
        <f>HYPERLINK("https://www.biblegateway.com/passage/?search=Ephesians+4:17-24","Eph 4:17-24")</f>
        <v>Eph 4:17-24</v>
      </c>
      <c r="U42" s="49" t="str">
        <f>HYPERLINK("https://www.biblegateway.com/passage/?search=John%206:24-35","John 6:24-35")</f>
        <v>John 6:24-35</v>
      </c>
      <c r="V42" s="54" t="str">
        <f>HYPERLINK("https://www.biblegateway.com/passage/?search=Psalm 145", "145")</f>
        <v>145</v>
      </c>
      <c r="W42" s="47" t="s">
        <v>656</v>
      </c>
      <c r="X42" s="179"/>
      <c r="Y42" s="47" t="s">
        <v>603</v>
      </c>
      <c r="Z42" s="47"/>
      <c r="AA42" s="165" t="s">
        <v>557</v>
      </c>
    </row>
    <row r="43" spans="1:27" ht="15.05">
      <c r="A43" s="16">
        <f t="shared" si="7"/>
        <v>2</v>
      </c>
      <c r="B43" s="41">
        <f t="shared" si="13"/>
        <v>43324</v>
      </c>
      <c r="C43" s="43" t="s">
        <v>659</v>
      </c>
      <c r="D43" s="43" t="s">
        <v>40</v>
      </c>
      <c r="E43" s="43" t="s">
        <v>43</v>
      </c>
      <c r="F43" s="44" t="s">
        <v>64</v>
      </c>
      <c r="G43" s="44" t="str">
        <f t="shared" si="8"/>
        <v>X</v>
      </c>
      <c r="H43" s="44"/>
      <c r="I43" s="166"/>
      <c r="J43" s="47"/>
      <c r="K43" s="56"/>
      <c r="L43" s="51"/>
      <c r="M43" s="43" t="s">
        <v>595</v>
      </c>
      <c r="N43" s="51"/>
      <c r="O43" s="51"/>
      <c r="P43" s="43" t="s">
        <v>605</v>
      </c>
      <c r="Q43" s="49" t="str">
        <f>HYPERLINK("https://www.biblegateway.com/passage/?search=John 6:41-51", "John 6:41-51")</f>
        <v>John 6:41-51</v>
      </c>
      <c r="R43" s="51"/>
      <c r="S43" s="49" t="str">
        <f>HYPERLINK("https://www.biblegateway.com/passage/?search=1%20Kings%2019:3-8","1 Kings 19:3-8")</f>
        <v>1 Kings 19:3-8</v>
      </c>
      <c r="T43" s="49" t="str">
        <f>HYPERLINK("https://www.biblegateway.com/passage/?search=Ephesians%204:30-5:2","Eph 4: 30-5:2")</f>
        <v>Eph 4: 30-5:2</v>
      </c>
      <c r="U43" s="49" t="str">
        <f>HYPERLINK("https://www.biblegateway.com/passage/?search=John+6:41-51","John 6:41-51")</f>
        <v>John 6:41-51</v>
      </c>
      <c r="V43" s="44">
        <v>34</v>
      </c>
      <c r="W43" s="47" t="s">
        <v>663</v>
      </c>
      <c r="X43" s="163"/>
      <c r="Y43" s="47" t="s">
        <v>603</v>
      </c>
      <c r="Z43" s="47"/>
      <c r="AA43" s="165" t="s">
        <v>557</v>
      </c>
    </row>
    <row r="44" spans="1:27" ht="15.05">
      <c r="A44" s="16">
        <f t="shared" si="7"/>
        <v>3</v>
      </c>
      <c r="B44" s="41">
        <f t="shared" si="13"/>
        <v>43331</v>
      </c>
      <c r="C44" s="43" t="s">
        <v>664</v>
      </c>
      <c r="D44" s="43" t="s">
        <v>46</v>
      </c>
      <c r="E44" s="43" t="s">
        <v>46</v>
      </c>
      <c r="F44" s="44" t="s">
        <v>44</v>
      </c>
      <c r="G44" s="44" t="str">
        <f t="shared" si="8"/>
        <v/>
      </c>
      <c r="H44" s="44"/>
      <c r="I44" s="43"/>
      <c r="J44" s="47"/>
      <c r="K44" s="56"/>
      <c r="L44" s="51"/>
      <c r="M44" s="43" t="s">
        <v>91</v>
      </c>
      <c r="N44" s="51"/>
      <c r="O44" s="51"/>
      <c r="P44" s="43" t="s">
        <v>617</v>
      </c>
      <c r="Q44" s="52" t="str">
        <f>HYPERLINK("https://www.biblegateway.com/passage/?search=John 6:51-58", "John 6:51-58")</f>
        <v>John 6:51-58</v>
      </c>
      <c r="R44" s="43"/>
      <c r="S44" s="49" t="str">
        <f>HYPERLINK("https://www.biblegateway.com/passage/?search=Proverbs+9:1-6","Proverbs 9:1-6")</f>
        <v>Proverbs 9:1-6</v>
      </c>
      <c r="T44" s="49" t="str">
        <f>HYPERLINK("https://www.biblegateway.com/passage/?search=Ephesians%205:15-20","Eph 5:15-20")</f>
        <v>Eph 5:15-20</v>
      </c>
      <c r="U44" s="49" t="str">
        <f>HYPERLINK("https://www.biblegateway.com/passage/?search=John%206:51-58","John 6: 51-58")</f>
        <v>John 6: 51-58</v>
      </c>
      <c r="V44" s="54" t="str">
        <f>HYPERLINK("https://www.biblegateway.com/passage/?search=Psalm 1", "1")</f>
        <v>1</v>
      </c>
      <c r="W44" s="47" t="s">
        <v>667</v>
      </c>
      <c r="X44" s="163"/>
      <c r="Y44" s="47" t="s">
        <v>603</v>
      </c>
      <c r="Z44" s="47"/>
      <c r="AA44" s="165" t="s">
        <v>557</v>
      </c>
    </row>
    <row r="45" spans="1:27" ht="15.05">
      <c r="A45" s="16">
        <f t="shared" si="7"/>
        <v>4</v>
      </c>
      <c r="B45" s="41">
        <f t="shared" si="13"/>
        <v>43338</v>
      </c>
      <c r="C45" s="43" t="s">
        <v>670</v>
      </c>
      <c r="D45" s="43" t="s">
        <v>40</v>
      </c>
      <c r="E45" s="43" t="s">
        <v>46</v>
      </c>
      <c r="F45" s="44" t="s">
        <v>44</v>
      </c>
      <c r="G45" s="44" t="str">
        <f t="shared" si="8"/>
        <v>X</v>
      </c>
      <c r="H45" s="44"/>
      <c r="I45" s="43"/>
      <c r="J45" s="47"/>
      <c r="K45" s="56"/>
      <c r="L45" s="51"/>
      <c r="M45" s="43" t="s">
        <v>490</v>
      </c>
      <c r="N45" s="51"/>
      <c r="O45" s="51"/>
      <c r="P45" s="43" t="s">
        <v>633</v>
      </c>
      <c r="Q45" s="52" t="str">
        <f>HYPERLINK("https://www.biblegateway.com/passage/?search=John 6:60-69", "John 6:60-69")</f>
        <v>John 6:60-69</v>
      </c>
      <c r="R45" s="43"/>
      <c r="S45" s="49" t="str">
        <f>HYPERLINK("https://www.biblegateway.com/passage/?search=Joshua+24%3A1-2%2CJoshua+24%3A14-18&amp;version=NIV","Joshua 24:1,2a,14-18")</f>
        <v>Joshua 24:1,2a,14-18</v>
      </c>
      <c r="T45" s="49" t="str">
        <f>HYPERLINK("https://www.biblegateway.com/passage/?search=Ephesians%205:21-31","Eph 5:21-31")</f>
        <v>Eph 5:21-31</v>
      </c>
      <c r="U45" s="49" t="str">
        <f>HYPERLINK("https://www.biblegateway.com/passage/?search=John%206:60-69","John 6:60-69")</f>
        <v>John 6:60-69</v>
      </c>
      <c r="V45" s="44">
        <v>71</v>
      </c>
      <c r="W45" s="47" t="s">
        <v>674</v>
      </c>
      <c r="X45" s="163"/>
      <c r="Y45" s="47" t="s">
        <v>603</v>
      </c>
      <c r="Z45" s="47"/>
      <c r="AA45" s="165" t="s">
        <v>557</v>
      </c>
    </row>
    <row r="46" spans="1:27" ht="15.05">
      <c r="A46" s="16">
        <f t="shared" si="7"/>
        <v>1</v>
      </c>
      <c r="B46" s="41">
        <f>B45+7</f>
        <v>43345</v>
      </c>
      <c r="C46" s="43" t="s">
        <v>676</v>
      </c>
      <c r="D46" s="43" t="s">
        <v>43</v>
      </c>
      <c r="E46" s="43" t="s">
        <v>43</v>
      </c>
      <c r="F46" s="44" t="s">
        <v>64</v>
      </c>
      <c r="G46" s="45" t="str">
        <f t="shared" si="8"/>
        <v/>
      </c>
      <c r="H46" s="44"/>
      <c r="I46" s="43"/>
      <c r="J46" s="47" t="s">
        <v>1473</v>
      </c>
      <c r="K46" s="56"/>
      <c r="L46" s="51"/>
      <c r="M46" s="43" t="s">
        <v>52</v>
      </c>
      <c r="N46" s="51"/>
      <c r="O46" s="51"/>
      <c r="P46" s="43" t="s">
        <v>654</v>
      </c>
      <c r="Q46" s="52" t="str">
        <f>HYPERLINK("https://www.biblegateway.com/passage/?search=Ephesians 6:10-20", "Ephesians 6:10-20")</f>
        <v>Ephesians 6:10-20</v>
      </c>
      <c r="R46" s="43"/>
      <c r="S46" s="49" t="str">
        <f>HYPERLINK("https://www.biblegateway.com/passage/?search=Deuteronomy+4%3A1-2%2CDeuteronomy+4%3A6-8&amp;version=NIV","Deuteronomy 4:1-2;6-8")</f>
        <v>Deuteronomy 4:1-2;6-8</v>
      </c>
      <c r="T46" s="49" t="str">
        <f>HYPERLINK("https://www.biblegateway.com/passage/?search=Ephesians+6:10-20","Eph 6:10-20")</f>
        <v>Eph 6:10-20</v>
      </c>
      <c r="U46" s="49" t="str">
        <f>HYPERLINK("https://www.biblegateway.com/passage/?search=Mark+7%3A1-8%2CMark+7%3A14-15%2CMark+7%3A21-23&amp;version=NIV","Mark 7:1-8;14,21-23")</f>
        <v>Mark 7:1-8;14,21-23</v>
      </c>
      <c r="V46" s="44" t="s">
        <v>677</v>
      </c>
      <c r="W46" s="47"/>
      <c r="X46" s="125"/>
      <c r="Y46" s="47"/>
      <c r="Z46" s="47"/>
      <c r="AA46" s="165" t="s">
        <v>678</v>
      </c>
    </row>
    <row r="47" spans="1:27" ht="15.05">
      <c r="A47" s="16">
        <f t="shared" si="7"/>
        <v>2</v>
      </c>
      <c r="B47" s="41">
        <f t="shared" ref="B47:B57" si="14">B46+7</f>
        <v>43352</v>
      </c>
      <c r="C47" s="43" t="s">
        <v>680</v>
      </c>
      <c r="D47" s="43" t="s">
        <v>46</v>
      </c>
      <c r="E47" s="43" t="s">
        <v>43</v>
      </c>
      <c r="F47" s="44"/>
      <c r="G47" s="44" t="str">
        <f t="shared" si="8"/>
        <v>X</v>
      </c>
      <c r="H47" s="43"/>
      <c r="I47" s="43"/>
      <c r="J47" s="47" t="s">
        <v>1473</v>
      </c>
      <c r="K47" s="56"/>
      <c r="L47" s="51"/>
      <c r="M47" s="43"/>
      <c r="N47" s="184"/>
      <c r="O47" s="186"/>
      <c r="P47" s="188" t="s">
        <v>669</v>
      </c>
      <c r="Q47" s="190" t="str">
        <f>HYPERLINK("https://www.biblegateway.com/passage/?search=Isaiah 35:4-7a", "Isaiah 35:4-7a")</f>
        <v>Isaiah 35:4-7a</v>
      </c>
      <c r="R47" s="191"/>
      <c r="S47" s="192" t="str">
        <f>HYPERLINK("https://www.biblegateway.com/passage/?search=Isaiah%2035:4-7","Isaiah 35:4-7a")</f>
        <v>Isaiah 35:4-7a</v>
      </c>
      <c r="T47" s="192" t="str">
        <f>HYPERLINK("https://www.biblegateway.com/passage/?search=James+1:17-27","James 1:17-27")</f>
        <v>James 1:17-27</v>
      </c>
      <c r="U47" s="192" t="str">
        <f>HYPERLINK("https://www.biblegateway.com/passage/?search=Mark%207:31-37","Mark 7:31-37")</f>
        <v>Mark 7:31-37</v>
      </c>
      <c r="V47" s="193" t="str">
        <f>HYPERLINK("https://www.biblegateway.com/passage/?search=Psalm 146", "146")</f>
        <v>146</v>
      </c>
      <c r="W47" s="194"/>
      <c r="X47" s="163"/>
      <c r="Y47" s="47"/>
      <c r="Z47" s="47"/>
      <c r="AA47" s="165" t="s">
        <v>678</v>
      </c>
    </row>
    <row r="48" spans="1:27" ht="15.05">
      <c r="A48" s="16">
        <f t="shared" si="7"/>
        <v>3</v>
      </c>
      <c r="B48" s="41">
        <f t="shared" si="14"/>
        <v>43359</v>
      </c>
      <c r="C48" s="43" t="s">
        <v>695</v>
      </c>
      <c r="D48" s="43" t="s">
        <v>43</v>
      </c>
      <c r="E48" s="43" t="s">
        <v>46</v>
      </c>
      <c r="F48" s="44"/>
      <c r="G48" s="45" t="str">
        <f t="shared" si="8"/>
        <v/>
      </c>
      <c r="H48" s="43"/>
      <c r="I48" s="43"/>
      <c r="J48" s="47" t="s">
        <v>1474</v>
      </c>
      <c r="K48" s="56"/>
      <c r="L48" s="51"/>
      <c r="M48" s="43"/>
      <c r="N48" s="186"/>
      <c r="O48" s="186"/>
      <c r="P48" s="188" t="s">
        <v>696</v>
      </c>
      <c r="Q48" s="190" t="str">
        <f>HYPERLINK("https://www.biblegateway.com/passage/?search=Mark 8:27-35", "Mark 8:27-35")</f>
        <v>Mark 8:27-35</v>
      </c>
      <c r="R48" s="188"/>
      <c r="S48" s="192" t="str">
        <f>HYPERLINK("https://www.biblegateway.com/passage/?search=Isaiah+50%3A4-10","Isaiah 50:4-10")</f>
        <v>Isaiah 50:4-10</v>
      </c>
      <c r="T48" s="192" t="str">
        <f>HYPERLINK("https://www.biblegateway.com/passage/?search=James+2%3A1-5%2CJames+2%3A8-10%2CJames+2%3A14-18&amp;version=NIV","James 2:1-5,8-10,14-18")</f>
        <v>James 2:1-5,8-10,14-18</v>
      </c>
      <c r="U48" s="192" t="str">
        <f>HYPERLINK("https://www.biblegateway.com/passage/?search=Mark%208:27-35","Mark 8:27-35")</f>
        <v>Mark 8:27-35</v>
      </c>
      <c r="V48" s="193" t="str">
        <f>HYPERLINK("https://www.biblegateway.com/passage/?search=Psalm 116", "116")</f>
        <v>116</v>
      </c>
      <c r="W48" s="194"/>
      <c r="X48" s="163"/>
      <c r="Y48" s="47"/>
      <c r="Z48" s="47"/>
      <c r="AA48" s="165" t="s">
        <v>678</v>
      </c>
    </row>
    <row r="49" spans="1:30" ht="15.05">
      <c r="A49" s="16">
        <f t="shared" si="7"/>
        <v>4</v>
      </c>
      <c r="B49" s="41">
        <f t="shared" si="14"/>
        <v>43366</v>
      </c>
      <c r="C49" s="43" t="s">
        <v>706</v>
      </c>
      <c r="D49" s="43" t="s">
        <v>40</v>
      </c>
      <c r="E49" s="43" t="s">
        <v>40</v>
      </c>
      <c r="F49" s="44"/>
      <c r="G49" s="44" t="str">
        <f t="shared" si="8"/>
        <v>X</v>
      </c>
      <c r="H49" s="43"/>
      <c r="I49" s="43"/>
      <c r="J49" s="47"/>
      <c r="K49" s="56"/>
      <c r="L49" s="51"/>
      <c r="M49" s="43"/>
      <c r="N49" s="186"/>
      <c r="O49" s="186"/>
      <c r="P49" s="188" t="s">
        <v>707</v>
      </c>
      <c r="Q49" s="190" t="str">
        <f>HYPERLINK("https://www.biblegateway.com/passage/?search=James 3:13-18", "James 3:13-18")</f>
        <v>James 3:13-18</v>
      </c>
      <c r="R49" s="188"/>
      <c r="S49" s="192" t="str">
        <f>HYPERLINK("https://www.biblegateway.com/passage/?search=Jeremiah+11:18-20","Jeremiah 11:18-20")</f>
        <v>Jeremiah 11:18-20</v>
      </c>
      <c r="T49" s="192" t="str">
        <f>HYPERLINK("https://www.biblegateway.com/passage/?search=James%203:13-18","James 3:13-18")</f>
        <v>James 3:13-18</v>
      </c>
      <c r="U49" s="192" t="str">
        <f>HYPERLINK("https://www.biblegateway.com/passage/?search=Mark%209:30-37","Mark 9:30-37")</f>
        <v>Mark 9:30-37</v>
      </c>
      <c r="V49" s="193" t="str">
        <f>HYPERLINK("https://www.biblegateway.com/passage/?search=Psalm 31", "31")</f>
        <v>31</v>
      </c>
      <c r="W49" s="194"/>
      <c r="X49" s="163"/>
      <c r="Y49" s="47"/>
      <c r="Z49" s="47"/>
      <c r="AA49" s="165" t="s">
        <v>678</v>
      </c>
    </row>
    <row r="50" spans="1:30" ht="15.05">
      <c r="A50" s="16">
        <f t="shared" si="7"/>
        <v>5</v>
      </c>
      <c r="B50" s="41">
        <f t="shared" si="14"/>
        <v>43373</v>
      </c>
      <c r="C50" s="43" t="s">
        <v>710</v>
      </c>
      <c r="D50" s="43" t="s">
        <v>46</v>
      </c>
      <c r="E50" s="43" t="s">
        <v>43</v>
      </c>
      <c r="F50" s="44"/>
      <c r="G50" s="45" t="str">
        <f t="shared" si="8"/>
        <v>X</v>
      </c>
      <c r="H50" s="43"/>
      <c r="I50" s="43"/>
      <c r="J50" s="47"/>
      <c r="K50" s="56"/>
      <c r="L50" s="51"/>
      <c r="M50" s="43"/>
      <c r="N50" s="51"/>
      <c r="O50" s="51"/>
      <c r="P50" s="43" t="s">
        <v>711</v>
      </c>
      <c r="Q50" s="52" t="str">
        <f>HYPERLINK("https://www.biblegateway.com/passage/?search=Numbers 11:16, 24-29", "Numbers 11:16, 24-29")</f>
        <v>Numbers 11:16, 24-29</v>
      </c>
      <c r="R50" s="43"/>
      <c r="S50" s="49" t="str">
        <f>HYPERLINK("https://www.biblegateway.com/passage/?search=Numbers 11:16, 24-29", "Numbers 11:16, 24-29")</f>
        <v>Numbers 11:16, 24-29</v>
      </c>
      <c r="T50" s="49" t="str">
        <f>HYPERLINK("https://www.biblegateway.com/passage/?search=James+4%3A7-12","James 4:7-12")</f>
        <v>James 4:7-12</v>
      </c>
      <c r="U50" s="49" t="str">
        <f>HYPERLINK("https://www.biblegateway.com/passage/?search=Mark+9:38-50","Mark 9:38-50")</f>
        <v>Mark 9:38-50</v>
      </c>
      <c r="V50" s="54" t="str">
        <f>HYPERLINK("https://www.biblegateway.com/passage/?search=Psalm 51b", "51b")</f>
        <v>51b</v>
      </c>
      <c r="W50" s="47"/>
      <c r="X50" s="163"/>
      <c r="Y50" s="47"/>
      <c r="Z50" s="47"/>
      <c r="AA50" s="165" t="s">
        <v>678</v>
      </c>
    </row>
    <row r="51" spans="1:30" ht="15.05">
      <c r="A51" s="16">
        <f t="shared" si="7"/>
        <v>1</v>
      </c>
      <c r="B51" s="41">
        <f t="shared" si="14"/>
        <v>43380</v>
      </c>
      <c r="C51" s="43" t="s">
        <v>715</v>
      </c>
      <c r="D51" s="43" t="s">
        <v>40</v>
      </c>
      <c r="E51" s="43" t="s">
        <v>40</v>
      </c>
      <c r="F51" s="44"/>
      <c r="G51" s="44" t="str">
        <f t="shared" si="8"/>
        <v/>
      </c>
      <c r="H51" s="43"/>
      <c r="I51" s="43"/>
      <c r="J51" s="47"/>
      <c r="K51" s="56"/>
      <c r="L51" s="51"/>
      <c r="M51" s="43"/>
      <c r="N51" s="51"/>
      <c r="O51" s="51"/>
      <c r="P51" s="43" t="s">
        <v>716</v>
      </c>
      <c r="Q51" s="52" t="str">
        <f>HYPERLINK("https://www.biblegateway.com/passage/?search=Hebrews 2:9-11", "Hebrews 2:9-11")</f>
        <v>Hebrews 2:9-11</v>
      </c>
      <c r="R51" s="43"/>
      <c r="S51" s="49" t="str">
        <f>HYPERLINK("https://www.biblegateway.com/passage/?search=Genesis 2:18-24", "Genesis 2:18-24")</f>
        <v>Genesis 2:18-24</v>
      </c>
      <c r="T51" s="49" t="str">
        <f>HYPERLINK("https://www.biblegateway.com/passage/?search=Hebrews+2:9-11","Hebrews 2:9-11")</f>
        <v>Hebrews 2:9-11</v>
      </c>
      <c r="U51" s="49" t="str">
        <f>HYPERLINK("https://www.biblegateway.com/passage/?search=Mark%2010:2-16","Mark 10:2-16")</f>
        <v>Mark 10:2-16</v>
      </c>
      <c r="V51" s="44" t="s">
        <v>720</v>
      </c>
      <c r="W51" s="47"/>
      <c r="X51" s="163"/>
      <c r="Y51" s="53"/>
      <c r="Z51" s="47"/>
      <c r="AA51" s="47"/>
    </row>
    <row r="52" spans="1:30" ht="15.05">
      <c r="A52" s="16">
        <f t="shared" si="7"/>
        <v>2</v>
      </c>
      <c r="B52" s="41">
        <f t="shared" si="14"/>
        <v>43387</v>
      </c>
      <c r="C52" s="43" t="s">
        <v>721</v>
      </c>
      <c r="D52" s="43" t="s">
        <v>46</v>
      </c>
      <c r="E52" s="43" t="s">
        <v>40</v>
      </c>
      <c r="F52" s="44"/>
      <c r="G52" s="44" t="str">
        <f t="shared" si="8"/>
        <v>X</v>
      </c>
      <c r="H52" s="43"/>
      <c r="I52" s="43"/>
      <c r="J52" s="47"/>
      <c r="K52" s="56"/>
      <c r="L52" s="51"/>
      <c r="M52" s="43"/>
      <c r="N52" s="51"/>
      <c r="O52" s="51"/>
      <c r="P52" s="43" t="s">
        <v>716</v>
      </c>
      <c r="Q52" s="52" t="str">
        <f>HYPERLINK("https://www.biblegateway.com/passage/?search=Amos 5:6,7,10-15", "Amos 5:6,7,10-15")</f>
        <v>Amos 5:6,7,10-15</v>
      </c>
      <c r="R52" s="43"/>
      <c r="S52" s="49" t="str">
        <f>HYPERLINK("https://www.biblegateway.com/passage/?search=Amos 5:6,7,10-15", "Amos 5:6,7,10-15")</f>
        <v>Amos 5:6,7,10-15</v>
      </c>
      <c r="T52" s="49" t="str">
        <f>HYPERLINK("https://www.biblegateway.com/passage/?search=Hebrews 3:1-6", "Hebrews 3:1-6")</f>
        <v>Hebrews 3:1-6</v>
      </c>
      <c r="U52" s="49" t="str">
        <f>HYPERLINK("https://www.biblegateway.com/passage/?search=Mark 10:17-27", "Mark 10:17-27")</f>
        <v>Mark 10:17-27</v>
      </c>
      <c r="V52" s="54" t="str">
        <f>HYPERLINK("https://www.biblegateway.com/passage/?search=Psalm 90", "90")</f>
        <v>90</v>
      </c>
      <c r="W52" s="47"/>
      <c r="X52" s="163"/>
      <c r="Y52" s="53"/>
      <c r="Z52" s="47"/>
      <c r="AA52" s="47"/>
    </row>
    <row r="53" spans="1:30" ht="15.05">
      <c r="A53" s="16">
        <f t="shared" si="7"/>
        <v>3</v>
      </c>
      <c r="B53" s="41">
        <f t="shared" si="14"/>
        <v>43394</v>
      </c>
      <c r="C53" s="43" t="s">
        <v>728</v>
      </c>
      <c r="D53" s="188" t="s">
        <v>60</v>
      </c>
      <c r="E53" s="188" t="s">
        <v>60</v>
      </c>
      <c r="F53" s="197" t="s">
        <v>730</v>
      </c>
      <c r="G53" s="44" t="str">
        <f t="shared" si="8"/>
        <v/>
      </c>
      <c r="H53" s="43"/>
      <c r="I53" s="43"/>
      <c r="J53" s="47" t="s">
        <v>1475</v>
      </c>
      <c r="K53" s="56"/>
      <c r="L53" s="51"/>
      <c r="M53" s="43"/>
      <c r="N53" s="51"/>
      <c r="O53" s="51"/>
      <c r="P53" s="188" t="s">
        <v>732</v>
      </c>
      <c r="Q53" s="190" t="str">
        <f>HYPERLINK("https://www.biblegateway.com/passage/?search=Hebrews 4:9-16", "Hebrews 4:9-16")</f>
        <v>Hebrews 4:9-16</v>
      </c>
      <c r="R53" s="188"/>
      <c r="S53" s="192" t="str">
        <f>HYPERLINK("https://www.biblegateway.com/passage/?search=Isaiah 53:10-12", "Isaiah 53:10-12")</f>
        <v>Isaiah 53:10-12</v>
      </c>
      <c r="T53" s="192" t="str">
        <f>HYPERLINK("https://www.biblegateway.com/passage/?search=Hebrews+4%3A9-16","Hebrews 4:9-16")</f>
        <v>Hebrews 4:9-16</v>
      </c>
      <c r="U53" s="192" t="str">
        <f>HYPERLINK("https://www.biblegateway.com/passage/?search=Mark+10:35-45","Mark 10:35-45")</f>
        <v>Mark 10:35-45</v>
      </c>
      <c r="V53" s="193" t="str">
        <f>HYPERLINK("https://www.biblegateway.com/passage/?search=Psalm 22", "22")</f>
        <v>22</v>
      </c>
      <c r="W53" s="194"/>
      <c r="X53" s="198"/>
      <c r="Y53" s="194"/>
      <c r="Z53" s="194"/>
      <c r="AA53" s="199" t="s">
        <v>736</v>
      </c>
    </row>
    <row r="54" spans="1:30" ht="15.05">
      <c r="A54" s="16">
        <f t="shared" si="7"/>
        <v>4</v>
      </c>
      <c r="B54" s="41">
        <f t="shared" si="14"/>
        <v>43401</v>
      </c>
      <c r="C54" s="43" t="s">
        <v>728</v>
      </c>
      <c r="D54" s="43" t="s">
        <v>40</v>
      </c>
      <c r="E54" s="43" t="s">
        <v>46</v>
      </c>
      <c r="F54" s="44"/>
      <c r="G54" s="44" t="str">
        <f t="shared" si="8"/>
        <v>X</v>
      </c>
      <c r="H54" s="43"/>
      <c r="I54" s="43"/>
      <c r="J54" s="47"/>
      <c r="K54" s="56"/>
      <c r="L54" s="51"/>
      <c r="M54" s="43"/>
      <c r="N54" s="51"/>
      <c r="O54" s="51"/>
      <c r="P54" s="43" t="s">
        <v>732</v>
      </c>
      <c r="Q54" s="52" t="str">
        <f>HYPERLINK("https://www.biblegateway.com/passage/?search=Jeremiah 31:7-9", "Jeremiah 31:7-9")</f>
        <v>Jeremiah 31:7-9</v>
      </c>
      <c r="R54" s="43"/>
      <c r="S54" s="49" t="str">
        <f>HYPERLINK("https://www.biblegateway.com/passage/?search=Jeremiah 31:7-9", "Jeremiah 31:7-9")</f>
        <v>Jeremiah 31:7-9</v>
      </c>
      <c r="T54" s="49" t="str">
        <f>HYPERLINK("https://www.biblegateway.com/passage/?search=Hebrews 5:1-10", "Hebrews 5:1-10")</f>
        <v>Hebrews 5:1-10</v>
      </c>
      <c r="U54" s="49" t="str">
        <f>HYPERLINK("https://www.biblegateway.com/passage/?search=Mark 10:46-52", "Mark 10:46-52")</f>
        <v>Mark 10:46-52</v>
      </c>
      <c r="V54" s="54" t="str">
        <f>HYPERLINK("https://www.biblegateway.com/passage/?search=Psalm 126", "126")</f>
        <v>126</v>
      </c>
      <c r="W54" s="47"/>
      <c r="X54" s="163"/>
      <c r="Y54" s="47"/>
      <c r="Z54" s="47"/>
      <c r="AA54" s="47"/>
    </row>
    <row r="55" spans="1:30" ht="15.05">
      <c r="A55" s="16">
        <f t="shared" si="7"/>
        <v>1</v>
      </c>
      <c r="B55" s="173">
        <f t="shared" si="14"/>
        <v>43408</v>
      </c>
      <c r="C55" s="114" t="s">
        <v>747</v>
      </c>
      <c r="D55" s="114" t="s">
        <v>43</v>
      </c>
      <c r="E55" s="114" t="s">
        <v>43</v>
      </c>
      <c r="F55" s="115"/>
      <c r="G55" s="115" t="str">
        <f t="shared" si="8"/>
        <v/>
      </c>
      <c r="H55" s="114"/>
      <c r="I55" s="114"/>
      <c r="J55" s="116"/>
      <c r="K55" s="201"/>
      <c r="L55" s="113"/>
      <c r="M55" s="114"/>
      <c r="N55" s="113"/>
      <c r="O55" s="113"/>
      <c r="P55" s="114" t="s">
        <v>751</v>
      </c>
      <c r="Q55" s="151" t="str">
        <f>HYPERLINK("https://www.biblegateway.com/passage/?search=Mark 13:5-11", "Mark 13:5-11")</f>
        <v>Mark 13:5-11</v>
      </c>
      <c r="R55" s="114"/>
      <c r="S55" s="119" t="str">
        <f>HYPERLINK("https://www.biblegateway.com/passage/?search=Jeremiah 18:1-11", "Jeremiah 18:1-11")</f>
        <v>Jeremiah 18:1-11</v>
      </c>
      <c r="T55" s="119" t="str">
        <f>HYPERLINK("https://www.biblegateway.com/passage/?search=Revelations 14:6,7", "Revelations 14:6,7")</f>
        <v>Revelations 14:6,7</v>
      </c>
      <c r="U55" s="119" t="str">
        <f>HYPERLINK("https://www.biblegateway.com/passage/?search=Mark 13:5-11", "Mark 13:5-11")</f>
        <v>Mark 13:5-11</v>
      </c>
      <c r="V55" s="152" t="str">
        <f>HYPERLINK("https://www.biblegateway.com/passage/?search=Psalm 46", "46")</f>
        <v>46</v>
      </c>
      <c r="W55" s="116"/>
      <c r="X55" s="163"/>
      <c r="Y55" s="117"/>
      <c r="Z55" s="116"/>
      <c r="AA55" s="116"/>
    </row>
    <row r="56" spans="1:30" ht="15.05">
      <c r="A56" s="16">
        <f t="shared" si="7"/>
        <v>2</v>
      </c>
      <c r="B56" s="173">
        <f t="shared" si="14"/>
        <v>43415</v>
      </c>
      <c r="C56" s="114" t="s">
        <v>758</v>
      </c>
      <c r="D56" s="114" t="s">
        <v>46</v>
      </c>
      <c r="E56" s="114" t="s">
        <v>40</v>
      </c>
      <c r="F56" s="115"/>
      <c r="G56" s="203" t="str">
        <f t="shared" si="8"/>
        <v>X</v>
      </c>
      <c r="H56" s="114"/>
      <c r="I56" s="114"/>
      <c r="J56" s="116" t="s">
        <v>1473</v>
      </c>
      <c r="K56" s="201"/>
      <c r="L56" s="113"/>
      <c r="M56" s="114"/>
      <c r="N56" s="113"/>
      <c r="O56" s="113"/>
      <c r="P56" s="114" t="s">
        <v>761</v>
      </c>
      <c r="Q56" s="151" t="str">
        <f>HYPERLINK("https://www.biblegateway.com/passage/?search=Hebrews 9:24-28", "Hebrews 9:24-28")</f>
        <v>Hebrews 9:24-28</v>
      </c>
      <c r="R56" s="114"/>
      <c r="S56" s="119" t="str">
        <f>HYPERLINK("https://www.biblegateway.com/passage/?search=Malachi 4:1,2a", "Malachi 4:1,2a")</f>
        <v>Malachi 4:1,2a</v>
      </c>
      <c r="T56" s="119" t="str">
        <f>HYPERLINK("https://www.biblegateway.com/passage/?search=Hebrews 9:24-28", "Hebrews 9:24-28")</f>
        <v>Hebrews 9:24-28</v>
      </c>
      <c r="U56" s="119" t="str">
        <f>HYPERLINK("https://www.biblegateway.com/passage/?search=John 5:19-24", "John 5:19-24")</f>
        <v>John 5:19-24</v>
      </c>
      <c r="V56" s="152" t="str">
        <f>HYPERLINK("https://www.biblegateway.com/passage/?search=Psalm 90", "90")</f>
        <v>90</v>
      </c>
      <c r="W56" s="116"/>
      <c r="X56" s="163"/>
      <c r="Y56" s="116"/>
      <c r="Z56" s="116"/>
      <c r="AA56" s="116"/>
    </row>
    <row r="57" spans="1:30" ht="15.05">
      <c r="A57" s="16">
        <f t="shared" si="7"/>
        <v>3</v>
      </c>
      <c r="B57" s="37">
        <f t="shared" si="14"/>
        <v>43422</v>
      </c>
      <c r="C57" s="20" t="s">
        <v>769</v>
      </c>
      <c r="D57" s="20" t="s">
        <v>43</v>
      </c>
      <c r="E57" s="20" t="s">
        <v>43</v>
      </c>
      <c r="F57" s="22"/>
      <c r="G57" s="22" t="str">
        <f t="shared" si="8"/>
        <v/>
      </c>
      <c r="H57" s="20"/>
      <c r="I57" s="20"/>
      <c r="J57" s="33" t="s">
        <v>1473</v>
      </c>
      <c r="K57" s="40"/>
      <c r="L57" s="25"/>
      <c r="M57" s="20"/>
      <c r="N57" s="25"/>
      <c r="O57" s="25"/>
      <c r="P57" s="20" t="s">
        <v>771</v>
      </c>
      <c r="Q57" s="31" t="str">
        <f>HYPERLINK("https://www.biblegateway.com/passage/?search=Daniel 12:1-3", "Daniel 12:1-3")</f>
        <v>Daniel 12:1-3</v>
      </c>
      <c r="R57" s="20"/>
      <c r="S57" s="28" t="str">
        <f>HYPERLINK("https://www.biblegateway.com/passage/?search=Daniel 12:1-3", "Daniel 12:1-3")</f>
        <v>Daniel 12:1-3</v>
      </c>
      <c r="T57" s="46" t="str">
        <f>HYPERLINK("https://www.biblegateway.com/passage/?search=Hebrews 10:11-18", "Hebrews 10:11-18")</f>
        <v>Hebrews 10:11-18</v>
      </c>
      <c r="U57" s="28" t="str">
        <f>HYPERLINK("https://www.biblegateway.com/passage/?search=John 5:25-29", "John 5:25-29")</f>
        <v>John 5:25-29</v>
      </c>
      <c r="V57" s="32" t="str">
        <f>HYPERLINK("https://www.biblegateway.com/passage/?search=Psalm 118", "118")</f>
        <v>118</v>
      </c>
      <c r="W57" s="33"/>
      <c r="X57" s="163"/>
      <c r="Y57" s="26"/>
      <c r="Z57" s="33"/>
      <c r="AA57" s="33"/>
    </row>
    <row r="58" spans="1:30" ht="15.05">
      <c r="A58" s="16"/>
      <c r="B58" s="17">
        <f>B57+3</f>
        <v>43425</v>
      </c>
      <c r="C58" s="20" t="s">
        <v>780</v>
      </c>
      <c r="D58" s="20" t="s">
        <v>43</v>
      </c>
      <c r="E58" s="20" t="s">
        <v>43</v>
      </c>
      <c r="F58" s="22"/>
      <c r="G58" s="22" t="str">
        <f t="shared" si="8"/>
        <v/>
      </c>
      <c r="H58" s="20"/>
      <c r="I58" s="20"/>
      <c r="J58" s="26"/>
      <c r="K58" s="40"/>
      <c r="L58" s="25"/>
      <c r="M58" s="20"/>
      <c r="N58" s="25"/>
      <c r="O58" s="25"/>
      <c r="P58" s="25"/>
      <c r="Q58" s="31" t="str">
        <f t="shared" ref="Q58:Q59" si="15">HYPERLINK("https://www.biblegateway.com/passage/?search=", "")</f>
        <v/>
      </c>
      <c r="R58" s="20"/>
      <c r="S58" s="28" t="str">
        <f t="shared" ref="S58:S59" si="16">HYPERLINK("https://www.biblegateway.com/passage/?search=Deuteronomy+8%3A10-18","Deuteronomy 8:10-18")</f>
        <v>Deuteronomy 8:10-18</v>
      </c>
      <c r="T58" s="28" t="str">
        <f t="shared" ref="T58:T59" si="17">HYPERLINK("https://www.biblegateway.com/passage/?search=Philippians+4:10-20","Philippians 4:10-20")</f>
        <v>Philippians 4:10-20</v>
      </c>
      <c r="U58" s="28" t="str">
        <f t="shared" ref="U58:U59" si="18">HYPERLINK("https://www.biblegateway.com/passage/?search=Luke%2017:11-19","Luke 17:11-19")</f>
        <v>Luke 17:11-19</v>
      </c>
      <c r="V58" s="32" t="str">
        <f t="shared" ref="V58:V59" si="19">HYPERLINK("https://www.biblegateway.com/passage/?search=Psalm 100", "100")</f>
        <v>100</v>
      </c>
      <c r="W58" s="33"/>
      <c r="X58" s="163"/>
      <c r="Y58" s="33"/>
      <c r="Z58" s="26"/>
      <c r="AA58" s="26"/>
    </row>
    <row r="59" spans="1:30" ht="15.05">
      <c r="A59" s="16"/>
      <c r="B59" s="17">
        <f>B58+1</f>
        <v>43426</v>
      </c>
      <c r="C59" s="20" t="s">
        <v>780</v>
      </c>
      <c r="D59" s="209"/>
      <c r="E59" s="209"/>
      <c r="F59" s="22"/>
      <c r="G59" s="22" t="str">
        <f t="shared" si="8"/>
        <v/>
      </c>
      <c r="H59" s="20"/>
      <c r="I59" s="20"/>
      <c r="J59" s="26"/>
      <c r="K59" s="40"/>
      <c r="L59" s="25"/>
      <c r="M59" s="20"/>
      <c r="N59" s="25"/>
      <c r="O59" s="25"/>
      <c r="P59" s="25"/>
      <c r="Q59" s="31" t="str">
        <f t="shared" si="15"/>
        <v/>
      </c>
      <c r="R59" s="20"/>
      <c r="S59" s="28" t="str">
        <f t="shared" si="16"/>
        <v>Deuteronomy 8:10-18</v>
      </c>
      <c r="T59" s="28" t="str">
        <f t="shared" si="17"/>
        <v>Philippians 4:10-20</v>
      </c>
      <c r="U59" s="28" t="str">
        <f t="shared" si="18"/>
        <v>Luke 17:11-19</v>
      </c>
      <c r="V59" s="32" t="str">
        <f t="shared" si="19"/>
        <v>100</v>
      </c>
      <c r="W59" s="33"/>
      <c r="X59" s="163"/>
      <c r="Y59" s="26"/>
      <c r="Z59" s="26"/>
      <c r="AA59" s="26"/>
    </row>
    <row r="60" spans="1:30" ht="15.05">
      <c r="A60" s="16">
        <f t="shared" ref="A60:A67" si="20">WEEKNUM(B60,2)-WEEKNUM(DATE(YEAR(B60),MONTH(B60),1),2)+1</f>
        <v>4</v>
      </c>
      <c r="B60" s="37">
        <f>B57+7</f>
        <v>43429</v>
      </c>
      <c r="C60" s="20" t="s">
        <v>795</v>
      </c>
      <c r="D60" s="20" t="s">
        <v>46</v>
      </c>
      <c r="E60" s="20" t="s">
        <v>40</v>
      </c>
      <c r="F60" s="22"/>
      <c r="G60" s="22" t="str">
        <f t="shared" si="8"/>
        <v>X</v>
      </c>
      <c r="H60" s="20"/>
      <c r="I60" s="20"/>
      <c r="J60" s="26"/>
      <c r="K60" s="40"/>
      <c r="L60" s="25"/>
      <c r="M60" s="20"/>
      <c r="N60" s="25"/>
      <c r="O60" s="25"/>
      <c r="P60" s="20" t="s">
        <v>797</v>
      </c>
      <c r="Q60" s="31" t="str">
        <f>HYPERLINK("https://www.biblegateway.com/passage/?search=John 18:33-37", "John 18:33-37")</f>
        <v>John 18:33-37</v>
      </c>
      <c r="R60" s="20"/>
      <c r="S60" s="40" t="s">
        <v>800</v>
      </c>
      <c r="T60" s="28" t="str">
        <f>HYPERLINK("https://www.biblegateway.com/passage/?search=Revelations 1:4b-8", "Revelations 1:4b-8")</f>
        <v>Revelations 1:4b-8</v>
      </c>
      <c r="U60" s="28" t="str">
        <f>HYPERLINK("https://www.biblegateway.com/passage/?search=John 18:33-37", "John 18:33-37")</f>
        <v>John 18:33-37</v>
      </c>
      <c r="V60" s="32" t="str">
        <f>HYPERLINK("https://www.biblegateway.com/passage/?search=Psalm 45", "45")</f>
        <v>45</v>
      </c>
      <c r="W60" s="33"/>
      <c r="X60" s="163"/>
      <c r="Y60" s="33"/>
      <c r="Z60" s="33"/>
      <c r="AA60" s="33"/>
      <c r="AC60" s="158"/>
      <c r="AD60" s="158"/>
    </row>
    <row r="61" spans="1:30" ht="15.05">
      <c r="A61" s="16">
        <f t="shared" si="20"/>
        <v>1</v>
      </c>
      <c r="B61" s="216">
        <f>B60+7</f>
        <v>43436</v>
      </c>
      <c r="C61" s="218" t="s">
        <v>819</v>
      </c>
      <c r="D61" s="218" t="s">
        <v>40</v>
      </c>
      <c r="E61" s="218" t="s">
        <v>40</v>
      </c>
      <c r="F61" s="219"/>
      <c r="G61" s="220" t="str">
        <f t="shared" si="8"/>
        <v/>
      </c>
      <c r="H61" s="218"/>
      <c r="I61" s="218"/>
      <c r="J61" s="221"/>
      <c r="K61" s="222"/>
      <c r="L61" s="223"/>
      <c r="M61" s="218"/>
      <c r="N61" s="223"/>
      <c r="O61" s="223"/>
      <c r="P61" s="218" t="s">
        <v>825</v>
      </c>
      <c r="Q61" s="225" t="str">
        <f>HYPERLINK("https://www.biblegateway.com/passage/?search=Philippians 1:3-11", "Philippians 1:3-11")</f>
        <v>Philippians 1:3-11</v>
      </c>
      <c r="R61" s="218"/>
      <c r="S61" s="226" t="str">
        <f>HYPERLINK("https://www.biblegateway.com/passage/?search=Malachi%203:1-4","Malachi 3:1-4")</f>
        <v>Malachi 3:1-4</v>
      </c>
      <c r="T61" s="226" t="str">
        <f>HYPERLINK("https://www.biblegateway.com/passage/?search=Philippians%201:3-11","Philippians 1:3-11")</f>
        <v>Philippians 1:3-11</v>
      </c>
      <c r="U61" s="226" t="str">
        <f>HYPERLINK("https://www.biblegateway.com/passage/?search=Luke%203:1-6","Luke 3:1-6")</f>
        <v>Luke 3:1-6</v>
      </c>
      <c r="V61" s="227" t="str">
        <f t="shared" ref="V61:V65" si="21">HYPERLINK("https://www.biblegateway.com/passage/?search=Psalm ", "")</f>
        <v/>
      </c>
      <c r="W61" s="228"/>
      <c r="X61" s="163"/>
      <c r="Y61" s="228"/>
      <c r="Z61" s="228"/>
      <c r="AA61" s="228"/>
    </row>
    <row r="62" spans="1:30" ht="15.05">
      <c r="A62" s="16">
        <f t="shared" si="20"/>
        <v>2</v>
      </c>
      <c r="B62" s="229">
        <f>B61+3</f>
        <v>43439</v>
      </c>
      <c r="C62" s="218" t="s">
        <v>834</v>
      </c>
      <c r="D62" s="218" t="s">
        <v>43</v>
      </c>
      <c r="E62" s="218" t="s">
        <v>43</v>
      </c>
      <c r="F62" s="219"/>
      <c r="G62" s="219"/>
      <c r="H62" s="218"/>
      <c r="I62" s="218"/>
      <c r="J62" s="221"/>
      <c r="K62" s="231"/>
      <c r="L62" s="223"/>
      <c r="M62" s="218"/>
      <c r="N62" s="223"/>
      <c r="O62" s="223"/>
      <c r="P62" s="223"/>
      <c r="Q62" s="226" t="str">
        <f>HYPERLINK("https://www.biblegateway.com/passage/?search=", "")</f>
        <v/>
      </c>
      <c r="R62" s="218"/>
      <c r="S62" s="218" t="s">
        <v>839</v>
      </c>
      <c r="T62" s="218" t="s">
        <v>840</v>
      </c>
      <c r="U62" s="226" t="str">
        <f>HYPERLINK("https://www.biblegateway.com/passage/?search=Matthew%203:1-12","Matthew 3:1-12")</f>
        <v>Matthew 3:1-12</v>
      </c>
      <c r="V62" s="227" t="str">
        <f t="shared" si="21"/>
        <v/>
      </c>
      <c r="W62" s="228"/>
      <c r="X62" s="163"/>
      <c r="Y62" s="221"/>
      <c r="Z62" s="228"/>
      <c r="AA62" s="228"/>
    </row>
    <row r="63" spans="1:30" ht="15.05">
      <c r="A63" s="16">
        <f t="shared" si="20"/>
        <v>2</v>
      </c>
      <c r="B63" s="216">
        <f>B61+7</f>
        <v>43443</v>
      </c>
      <c r="C63" s="218" t="s">
        <v>842</v>
      </c>
      <c r="D63" s="218" t="s">
        <v>46</v>
      </c>
      <c r="E63" s="218" t="s">
        <v>43</v>
      </c>
      <c r="F63" s="219"/>
      <c r="G63" s="219" t="str">
        <f t="shared" ref="G63:G69" si="22">IF(OR(A63=2,A63=4,A63=5),"X","")</f>
        <v>X</v>
      </c>
      <c r="H63" s="218"/>
      <c r="I63" s="218"/>
      <c r="J63" s="221"/>
      <c r="K63" s="222"/>
      <c r="L63" s="223"/>
      <c r="M63" s="218"/>
      <c r="N63" s="223"/>
      <c r="O63" s="223"/>
      <c r="P63" s="218" t="s">
        <v>843</v>
      </c>
      <c r="Q63" s="218" t="s">
        <v>844</v>
      </c>
      <c r="R63" s="218"/>
      <c r="S63" s="226" t="str">
        <f>HYPERLINK("https://www.biblegateway.com/passage/?search=Zephaniah%203:14-17","Zephaniah 3:14-17")</f>
        <v>Zephaniah 3:14-17</v>
      </c>
      <c r="T63" s="226" t="str">
        <f>HYPERLINK("https://www.biblegateway.com/passage/?search=Philippians%204:4-7","Philippians 4:4-7")</f>
        <v>Philippians 4:4-7</v>
      </c>
      <c r="U63" s="226" t="str">
        <f>HYPERLINK("https://www.biblegateway.com/passage/?search=Luke%203:7-18","Luke 3:7-18")</f>
        <v>Luke 3:7-18</v>
      </c>
      <c r="V63" s="227" t="str">
        <f t="shared" si="21"/>
        <v/>
      </c>
      <c r="W63" s="228"/>
      <c r="X63" s="163"/>
      <c r="Y63" s="221"/>
      <c r="Z63" s="228"/>
      <c r="AA63" s="228"/>
    </row>
    <row r="64" spans="1:30" ht="15.05">
      <c r="A64" s="16">
        <f t="shared" si="20"/>
        <v>3</v>
      </c>
      <c r="B64" s="229">
        <f>B63+3</f>
        <v>43446</v>
      </c>
      <c r="C64" s="218" t="s">
        <v>848</v>
      </c>
      <c r="D64" s="218" t="s">
        <v>40</v>
      </c>
      <c r="E64" s="218" t="s">
        <v>40</v>
      </c>
      <c r="F64" s="219"/>
      <c r="G64" s="220" t="str">
        <f t="shared" si="22"/>
        <v/>
      </c>
      <c r="H64" s="218"/>
      <c r="I64" s="218"/>
      <c r="J64" s="221"/>
      <c r="K64" s="222"/>
      <c r="L64" s="223"/>
      <c r="M64" s="218"/>
      <c r="N64" s="223"/>
      <c r="O64" s="223"/>
      <c r="P64" s="223"/>
      <c r="Q64" s="225" t="str">
        <f>HYPERLINK("https://www.biblegateway.com/passage/?search=", "")</f>
        <v/>
      </c>
      <c r="R64" s="223"/>
      <c r="S64" s="226" t="str">
        <f>HYPERLINK("https://www.biblegateway.com/passage/?search=Isaiah%2051:1-6","Isaiah 51:1-6")</f>
        <v>Isaiah 51:1-6</v>
      </c>
      <c r="T64" s="226" t="str">
        <f>HYPERLINK("https://www.biblegateway.com/passage/?search=Jude%2017-25","Jude 17-25")</f>
        <v>Jude 17-25</v>
      </c>
      <c r="U64" s="226" t="str">
        <f>HYPERLINK("https://www.biblegateway.com/passage/?search=Luke%201:46-55","Luke 1:46-55")</f>
        <v>Luke 1:46-55</v>
      </c>
      <c r="V64" s="227" t="str">
        <f t="shared" si="21"/>
        <v/>
      </c>
      <c r="W64" s="228"/>
      <c r="X64" s="163"/>
      <c r="Y64" s="221"/>
      <c r="Z64" s="228"/>
      <c r="AA64" s="228"/>
    </row>
    <row r="65" spans="1:28" ht="15.05">
      <c r="A65" s="16">
        <f t="shared" si="20"/>
        <v>3</v>
      </c>
      <c r="B65" s="216">
        <f>B63+7</f>
        <v>43450</v>
      </c>
      <c r="C65" s="218" t="s">
        <v>851</v>
      </c>
      <c r="D65" s="218" t="s">
        <v>43</v>
      </c>
      <c r="E65" s="218" t="s">
        <v>43</v>
      </c>
      <c r="F65" s="219"/>
      <c r="G65" s="220" t="str">
        <f t="shared" si="22"/>
        <v/>
      </c>
      <c r="H65" s="218"/>
      <c r="I65" s="218"/>
      <c r="J65" s="221"/>
      <c r="K65" s="222"/>
      <c r="L65" s="223"/>
      <c r="M65" s="218"/>
      <c r="N65" s="223"/>
      <c r="O65" s="223"/>
      <c r="P65" s="218" t="s">
        <v>852</v>
      </c>
      <c r="Q65" s="225" t="str">
        <f>HYPERLINK("https://www.biblegateway.com/passage/?search=Micah 5:2-5a", "Micah 5:2-5a")</f>
        <v>Micah 5:2-5a</v>
      </c>
      <c r="R65" s="223"/>
      <c r="S65" s="226" t="str">
        <f>HYPERLINK("https://www.biblegateway.com/passage/?search=Micah%205:2-5","Micah 5:2-5a")</f>
        <v>Micah 5:2-5a</v>
      </c>
      <c r="T65" s="226" t="str">
        <f>HYPERLINK("https://www.biblegateway.com/passage/?search=Hebrews%2010:5-10","Hebrews 10:5-10")</f>
        <v>Hebrews 10:5-10</v>
      </c>
      <c r="U65" s="226" t="str">
        <f>HYPERLINK("https://www.biblegateway.com/passage/?search=Luke%201:39-55","Luke 1:39-55")</f>
        <v>Luke 1:39-55</v>
      </c>
      <c r="V65" s="227" t="str">
        <f t="shared" si="21"/>
        <v/>
      </c>
      <c r="W65" s="228"/>
      <c r="X65" s="163"/>
      <c r="Y65" s="221"/>
      <c r="Z65" s="228"/>
      <c r="AA65" s="228"/>
    </row>
    <row r="66" spans="1:28" ht="15.05">
      <c r="A66" s="16">
        <f t="shared" si="20"/>
        <v>3</v>
      </c>
      <c r="B66" s="229">
        <f>B65</f>
        <v>43450</v>
      </c>
      <c r="C66" s="218" t="s">
        <v>858</v>
      </c>
      <c r="D66" s="218" t="s">
        <v>46</v>
      </c>
      <c r="E66" s="218" t="s">
        <v>46</v>
      </c>
      <c r="F66" s="219"/>
      <c r="G66" s="220" t="str">
        <f t="shared" si="22"/>
        <v/>
      </c>
      <c r="H66" s="220"/>
      <c r="I66" s="220"/>
      <c r="J66" s="221"/>
      <c r="K66" s="222"/>
      <c r="L66" s="223"/>
      <c r="M66" s="218"/>
      <c r="N66" s="223"/>
      <c r="O66" s="223"/>
      <c r="P66" s="223"/>
      <c r="Q66" s="223"/>
      <c r="R66" s="223"/>
      <c r="S66" s="223"/>
      <c r="T66" s="223"/>
      <c r="U66" s="223"/>
      <c r="V66" s="220"/>
      <c r="W66" s="221"/>
      <c r="X66" s="163"/>
      <c r="Y66" s="221"/>
      <c r="Z66" s="221"/>
      <c r="AA66" s="221"/>
    </row>
    <row r="67" spans="1:28" ht="15.05">
      <c r="A67" s="16">
        <f t="shared" si="20"/>
        <v>4</v>
      </c>
      <c r="B67" s="216">
        <f>B65+7</f>
        <v>43457</v>
      </c>
      <c r="C67" s="218" t="s">
        <v>862</v>
      </c>
      <c r="D67" s="218" t="s">
        <v>40</v>
      </c>
      <c r="E67" s="218" t="s">
        <v>43</v>
      </c>
      <c r="F67" s="219"/>
      <c r="G67" s="220" t="str">
        <f t="shared" si="22"/>
        <v>X</v>
      </c>
      <c r="H67" s="220"/>
      <c r="I67" s="220"/>
      <c r="J67" s="221"/>
      <c r="K67" s="222"/>
      <c r="L67" s="223"/>
      <c r="M67" s="218"/>
      <c r="N67" s="223"/>
      <c r="O67" s="223"/>
      <c r="P67" s="223"/>
      <c r="Q67" s="223"/>
      <c r="R67" s="223"/>
      <c r="S67" s="223"/>
      <c r="T67" s="223"/>
      <c r="U67" s="223"/>
      <c r="V67" s="220"/>
      <c r="W67" s="221"/>
      <c r="X67" s="163"/>
      <c r="Y67" s="221"/>
      <c r="Z67" s="221"/>
      <c r="AA67" s="221"/>
    </row>
    <row r="68" spans="1:28" ht="15.05">
      <c r="A68" s="16"/>
      <c r="B68" s="17">
        <v>43458</v>
      </c>
      <c r="C68" s="20" t="s">
        <v>868</v>
      </c>
      <c r="D68" s="5" t="s">
        <v>869</v>
      </c>
      <c r="E68" s="20" t="s">
        <v>43</v>
      </c>
      <c r="F68" s="238"/>
      <c r="G68" s="23" t="str">
        <f t="shared" si="22"/>
        <v/>
      </c>
      <c r="H68" s="23"/>
      <c r="I68" s="23"/>
      <c r="J68" s="26"/>
      <c r="K68" s="40"/>
      <c r="L68" s="25"/>
      <c r="M68" s="20"/>
      <c r="N68" s="25"/>
      <c r="O68" s="25"/>
      <c r="P68" s="20"/>
      <c r="Q68" s="28" t="str">
        <f>HYPERLINK("https://www.biblegateway.com/passage/?search=", "")</f>
        <v/>
      </c>
      <c r="R68" s="25"/>
      <c r="S68" s="20"/>
      <c r="T68" s="20"/>
      <c r="U68" s="20"/>
      <c r="V68" s="22"/>
      <c r="W68" s="33"/>
      <c r="X68" s="163"/>
      <c r="Y68" s="26"/>
      <c r="Z68" s="26"/>
      <c r="AA68" s="26"/>
    </row>
    <row r="69" spans="1:28" ht="15.05">
      <c r="A69" s="16"/>
      <c r="B69" s="17">
        <v>43458</v>
      </c>
      <c r="C69" s="20" t="s">
        <v>871</v>
      </c>
      <c r="D69" s="20" t="s">
        <v>40</v>
      </c>
      <c r="E69" s="20" t="s">
        <v>40</v>
      </c>
      <c r="F69" s="5"/>
      <c r="G69" s="23" t="str">
        <f t="shared" si="22"/>
        <v/>
      </c>
      <c r="H69" s="23"/>
      <c r="I69" s="23"/>
      <c r="J69" s="26"/>
      <c r="K69" s="25"/>
      <c r="L69" s="25"/>
      <c r="M69" s="20"/>
      <c r="N69" s="25"/>
      <c r="O69" s="25"/>
      <c r="P69" s="20" t="s">
        <v>873</v>
      </c>
      <c r="Q69" s="28" t="str">
        <f>HYPERLINK("https://www.biblegateway.com/passage/?search=Hebrews 1:1-9", "Hebrews 1:1-9")</f>
        <v>Hebrews 1:1-9</v>
      </c>
      <c r="R69" s="20"/>
      <c r="S69" s="20" t="s">
        <v>876</v>
      </c>
      <c r="T69" s="20" t="s">
        <v>877</v>
      </c>
      <c r="U69" s="20" t="s">
        <v>879</v>
      </c>
      <c r="V69" s="32" t="str">
        <f>HYPERLINK("https://www.biblegateway.com/passage/?search=Psalm ", "")</f>
        <v/>
      </c>
      <c r="W69" s="33"/>
      <c r="X69" s="163"/>
      <c r="Y69" s="26"/>
      <c r="Z69" s="26"/>
      <c r="AA69" s="26"/>
    </row>
    <row r="70" spans="1:28" ht="15.05">
      <c r="A70" s="16"/>
      <c r="B70" s="17">
        <v>43459</v>
      </c>
      <c r="C70" s="25" t="s">
        <v>882</v>
      </c>
      <c r="D70" s="20" t="s">
        <v>43</v>
      </c>
      <c r="E70" s="20" t="s">
        <v>40</v>
      </c>
      <c r="F70" s="22"/>
      <c r="G70" s="22" t="s">
        <v>167</v>
      </c>
      <c r="H70" s="23"/>
      <c r="I70" s="23"/>
      <c r="J70" s="26"/>
      <c r="K70" s="40"/>
      <c r="L70" s="25"/>
      <c r="M70" s="20"/>
      <c r="N70" s="25"/>
      <c r="O70" s="25"/>
      <c r="P70" s="20" t="s">
        <v>883</v>
      </c>
      <c r="Q70" s="28" t="str">
        <f t="shared" ref="Q70:Q72" si="23">HYPERLINK("https://www.biblegateway.com/passage/?search=", "")</f>
        <v/>
      </c>
      <c r="R70" s="20"/>
      <c r="S70" s="20" t="s">
        <v>887</v>
      </c>
      <c r="T70" s="20" t="s">
        <v>888</v>
      </c>
      <c r="U70" s="20" t="s">
        <v>889</v>
      </c>
      <c r="V70" s="22"/>
      <c r="W70" s="33"/>
      <c r="X70" s="163"/>
      <c r="Y70" s="26"/>
      <c r="Z70" s="26"/>
      <c r="AA70" s="26"/>
    </row>
    <row r="71" spans="1:28" ht="15.05">
      <c r="A71" s="16">
        <f>WEEKNUM(B71,2)-WEEKNUM(DATE(YEAR(B71),MONTH(B71),1),2)+1</f>
        <v>4</v>
      </c>
      <c r="B71" s="37">
        <f>B65+7</f>
        <v>43457</v>
      </c>
      <c r="C71" s="20" t="s">
        <v>892</v>
      </c>
      <c r="D71" s="20" t="s">
        <v>46</v>
      </c>
      <c r="E71" s="20" t="s">
        <v>43</v>
      </c>
      <c r="F71" s="22"/>
      <c r="G71" s="22" t="str">
        <f>IF(OR(A71=2,A71=4,A71=5),"X","")</f>
        <v>X</v>
      </c>
      <c r="H71" s="22"/>
      <c r="I71" s="23"/>
      <c r="J71" s="26"/>
      <c r="K71" s="25"/>
      <c r="L71" s="25"/>
      <c r="M71" s="20"/>
      <c r="N71" s="25"/>
      <c r="O71" s="25"/>
      <c r="P71" s="20" t="s">
        <v>895</v>
      </c>
      <c r="Q71" s="28" t="str">
        <f t="shared" si="23"/>
        <v/>
      </c>
      <c r="R71" s="20"/>
      <c r="S71" s="28" t="str">
        <f>HYPERLINK("https://www.biblegateway.com/passage/?search=1+Samuel+2%3A18-20%2C1+Samuel+2%3A26&amp;version=NIV","1 Samuel 2:18-20, 26")</f>
        <v>1 Samuel 2:18-20, 26</v>
      </c>
      <c r="T71" s="28" t="str">
        <f>HYPERLINK("https://www.biblegateway.com/passage/?search=Hebrews%202:10-18","Hebrews 2:10-18")</f>
        <v>Hebrews 2:10-18</v>
      </c>
      <c r="U71" s="28" t="str">
        <f>HYPERLINK("https://www.biblegateway.com/passage/?search=Luke%202%3A41-52","Luke 2:41-52")</f>
        <v>Luke 2:41-52</v>
      </c>
      <c r="V71" s="32" t="str">
        <f t="shared" ref="V71:V72" si="24">HYPERLINK("https://www.biblegateway.com/passage/?search=Psalm ", "")</f>
        <v/>
      </c>
      <c r="W71" s="33"/>
      <c r="X71" s="26"/>
      <c r="Y71" s="26"/>
      <c r="Z71" s="33"/>
      <c r="AA71" s="33"/>
    </row>
    <row r="72" spans="1:28" ht="15.05">
      <c r="A72" s="16"/>
      <c r="B72" s="17">
        <v>43465</v>
      </c>
      <c r="C72" s="25" t="s">
        <v>897</v>
      </c>
      <c r="D72" s="20" t="s">
        <v>43</v>
      </c>
      <c r="E72" s="20" t="s">
        <v>40</v>
      </c>
      <c r="F72" s="22"/>
      <c r="G72" s="22" t="s">
        <v>167</v>
      </c>
      <c r="H72" s="23"/>
      <c r="I72" s="23"/>
      <c r="J72" s="26"/>
      <c r="K72" s="25"/>
      <c r="L72" s="25"/>
      <c r="M72" s="20"/>
      <c r="N72" s="20"/>
      <c r="O72" s="25"/>
      <c r="P72" s="20" t="s">
        <v>898</v>
      </c>
      <c r="Q72" s="28" t="str">
        <f t="shared" si="23"/>
        <v/>
      </c>
      <c r="R72" s="25"/>
      <c r="S72" s="28" t="str">
        <f>HYPERLINK("https://www.biblegateway.com/passage/?search=Isaiah%2051:1-6","Isaiah 51:1-6")</f>
        <v>Isaiah 51:1-6</v>
      </c>
      <c r="T72" s="28" t="str">
        <f>HYPERLINK("https://www.biblegateway.com/passage/?search=1%20Peter%201:22-25","1 Peter 1:22-25")</f>
        <v>1 Peter 1:22-25</v>
      </c>
      <c r="U72" s="28" t="str">
        <f>HYPERLINK("https://www.biblegateway.com/passage/?search=Luke%2013%3A6-9","Luke 13:6-9")</f>
        <v>Luke 13:6-9</v>
      </c>
      <c r="V72" s="32" t="str">
        <f t="shared" si="24"/>
        <v/>
      </c>
      <c r="W72" s="33"/>
      <c r="X72" s="26"/>
      <c r="Y72" s="26"/>
      <c r="Z72" s="26"/>
      <c r="AA72" s="26"/>
    </row>
    <row r="73" spans="1:28" ht="15.05">
      <c r="A73" s="16"/>
      <c r="B73" s="243"/>
      <c r="C73" s="244" t="s">
        <v>900</v>
      </c>
      <c r="D73" s="243"/>
      <c r="E73" s="243"/>
      <c r="F73" s="245"/>
      <c r="G73">
        <f>COUNTIF(G$2:G$72,"=X")</f>
        <v>33</v>
      </c>
      <c r="H73" s="243"/>
      <c r="I73" s="243"/>
      <c r="J73" s="246"/>
      <c r="K73" s="243"/>
      <c r="L73" s="243"/>
      <c r="M73" s="243"/>
      <c r="N73" s="243"/>
      <c r="O73" s="243"/>
      <c r="P73" s="243"/>
      <c r="Q73" s="243"/>
      <c r="R73" s="243"/>
      <c r="S73" s="243"/>
      <c r="T73" s="243"/>
      <c r="U73" s="243"/>
      <c r="V73" s="245"/>
      <c r="W73" s="246"/>
      <c r="X73" s="246"/>
      <c r="Y73" s="246"/>
      <c r="Z73" s="246"/>
      <c r="AA73" s="246"/>
      <c r="AB73" s="246"/>
    </row>
    <row r="74" spans="1:28" ht="15.05">
      <c r="A74" s="16"/>
      <c r="C74" s="5" t="s">
        <v>43</v>
      </c>
      <c r="D74" s="244">
        <f t="shared" ref="D74:E74" si="25">COUNTIF(D$2:D$72,"=Brauer")</f>
        <v>21</v>
      </c>
      <c r="E74" s="244">
        <f t="shared" si="25"/>
        <v>24</v>
      </c>
      <c r="F74" s="248"/>
      <c r="H74">
        <f t="shared" ref="H74:I74" si="26">COUNTIF(H$2:H$72,"=Brauer")</f>
        <v>0</v>
      </c>
      <c r="I74">
        <f t="shared" si="26"/>
        <v>0</v>
      </c>
      <c r="S74" s="251" t="str">
        <f>HYPERLINK("https://www.biblegateway.com/passage/?search=", "")</f>
        <v/>
      </c>
      <c r="V74" s="248"/>
    </row>
    <row r="75" spans="1:28" ht="15.05">
      <c r="A75" s="16"/>
      <c r="C75" s="5" t="s">
        <v>40</v>
      </c>
      <c r="D75" s="244">
        <f t="shared" ref="D75:E75" si="27">COUNTIF(D$2:D$72,"=Buchholz")</f>
        <v>20</v>
      </c>
      <c r="E75" s="244">
        <f t="shared" si="27"/>
        <v>29</v>
      </c>
      <c r="F75" s="248"/>
      <c r="G75" s="248"/>
      <c r="H75">
        <f t="shared" ref="H75:I75" si="28">COUNTIF(H$2:H$72,"=Buchholz")</f>
        <v>0</v>
      </c>
      <c r="I75">
        <f t="shared" si="28"/>
        <v>0</v>
      </c>
      <c r="V75" s="248"/>
    </row>
    <row r="76" spans="1:28" ht="15.05">
      <c r="A76" s="16"/>
      <c r="C76" s="5" t="s">
        <v>46</v>
      </c>
      <c r="D76" s="244">
        <f t="shared" ref="D76:E76" si="29">COUNTIF(D$2:D$72,"=Gran")</f>
        <v>18</v>
      </c>
      <c r="E76" s="244">
        <f t="shared" si="29"/>
        <v>16</v>
      </c>
      <c r="F76" s="248"/>
      <c r="G76" s="248"/>
      <c r="H76">
        <f t="shared" ref="H76:I76" si="30">COUNTIF(H$2:H$72,"=Gran")</f>
        <v>4</v>
      </c>
      <c r="I76">
        <f t="shared" si="30"/>
        <v>0</v>
      </c>
      <c r="V76" s="248"/>
    </row>
    <row r="77" spans="1:28" ht="15.05">
      <c r="A77" s="16"/>
      <c r="C77" s="5" t="s">
        <v>63</v>
      </c>
      <c r="D77" s="244">
        <f t="shared" ref="D77:E77" si="31">COUNTIF(D$2:D$72,"=Pautz")</f>
        <v>6</v>
      </c>
      <c r="E77" s="244">
        <f t="shared" si="31"/>
        <v>0</v>
      </c>
      <c r="F77" s="248"/>
      <c r="G77" s="248"/>
      <c r="H77">
        <f t="shared" ref="H77:I77" si="32">COUNTIF(H$2:H$72,"=Pautz")</f>
        <v>0</v>
      </c>
      <c r="I77">
        <f t="shared" si="32"/>
        <v>0</v>
      </c>
      <c r="V77" s="248"/>
    </row>
    <row r="78" spans="1:28" ht="15.05">
      <c r="A78" s="16"/>
      <c r="C78" s="5" t="s">
        <v>910</v>
      </c>
      <c r="D78" s="244">
        <f t="shared" ref="D78:E78" si="33">COUNTIFS(D$2:D$76,"&lt;&gt;Brauer",D$2:D$76,"&lt;&gt;Buchholz",D$2:D$76,"&lt;&gt;Gran",D$2:D$76,"&lt;&gt;Pautz",D$2:D$76,"&lt;&gt;Preach") - COUNTBLANK(D$2:D$76)</f>
        <v>8</v>
      </c>
      <c r="E78" s="244">
        <f t="shared" si="33"/>
        <v>4</v>
      </c>
    </row>
    <row r="79" spans="1:28" ht="14.4">
      <c r="A79" s="16"/>
    </row>
    <row r="80" spans="1:28" ht="14.4">
      <c r="A80" s="16"/>
    </row>
    <row r="81" spans="1:1" ht="14.4">
      <c r="A81" s="16"/>
    </row>
    <row r="82" spans="1:1" ht="14.4">
      <c r="A82" s="16"/>
    </row>
    <row r="83" spans="1:1" ht="15.05">
      <c r="A83" s="243"/>
    </row>
  </sheetData>
  <printOptions horizontalCentered="1" gridLines="1"/>
  <pageMargins left="0.7" right="0.7" top="0.75" bottom="0.75" header="0" footer="0"/>
  <pageSetup fitToHeight="0" pageOrder="overThenDown" orientation="landscape" cellComments="atEnd"/>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22"/>
  <sheetViews>
    <sheetView workbookViewId="0"/>
  </sheetViews>
  <sheetFormatPr defaultColWidth="17.33203125" defaultRowHeight="15.85" customHeight="1"/>
  <cols>
    <col min="1" max="1" width="24.44140625" customWidth="1"/>
    <col min="2" max="2" width="59" customWidth="1"/>
  </cols>
  <sheetData>
    <row r="1" spans="1:2" ht="15.85" customHeight="1">
      <c r="A1" s="1"/>
      <c r="B1" s="3">
        <v>43247</v>
      </c>
    </row>
    <row r="2" spans="1:2" ht="15.85" customHeight="1">
      <c r="A2" s="1" t="s">
        <v>1</v>
      </c>
      <c r="B2" s="5" t="s">
        <v>2</v>
      </c>
    </row>
    <row r="3" spans="1:2" ht="15.85" customHeight="1">
      <c r="A3" s="1"/>
    </row>
    <row r="4" spans="1:2" ht="15.85" customHeight="1">
      <c r="A4" s="1" t="s">
        <v>4</v>
      </c>
      <c r="B4" t="str">
        <f>VLOOKUP($B$1,'2018-B'!$B$2:$Y$78,2)</f>
        <v>Holy Trinity</v>
      </c>
    </row>
    <row r="5" spans="1:2" ht="15.85" customHeight="1">
      <c r="A5" s="1" t="s">
        <v>9</v>
      </c>
      <c r="B5" t="str">
        <f>VLOOKUP($B$1,'2018-B'!$B$2:$Y$78,3)</f>
        <v>Buchholz</v>
      </c>
    </row>
    <row r="6" spans="1:2" ht="15.85" customHeight="1">
      <c r="A6" s="1" t="s">
        <v>27</v>
      </c>
      <c r="B6" t="str">
        <f>VLOOKUP($B$1,'2018-B'!$B$2:$Y$78,4)</f>
        <v>Gran</v>
      </c>
    </row>
    <row r="7" spans="1:2" ht="15.85" customHeight="1">
      <c r="A7" s="1" t="s">
        <v>28</v>
      </c>
      <c r="B7" t="str">
        <f>VLOOKUP($B$1,'2018-B'!$B$2:$Y$78,5)</f>
        <v>Kevin</v>
      </c>
    </row>
    <row r="8" spans="1:2" ht="15.85" customHeight="1">
      <c r="A8" s="1" t="s">
        <v>29</v>
      </c>
      <c r="B8" t="str">
        <f>VLOOKUP($B$1,'2018-B'!$B$2:$Y$78,12)</f>
        <v>Word and Sacrament</v>
      </c>
    </row>
    <row r="9" spans="1:2" ht="15.85" customHeight="1">
      <c r="A9" s="12"/>
    </row>
    <row r="10" spans="1:2" ht="15.85" customHeight="1">
      <c r="A10" s="14" t="s">
        <v>33</v>
      </c>
      <c r="B10" t="e">
        <f ca="1">getNote(CONCATENATE("'",B2,"'!N",MATCH(B1,'2018-B'!B1:B79)))</f>
        <v>#NAME?</v>
      </c>
    </row>
    <row r="11" spans="1:2" ht="15.85" customHeight="1">
      <c r="A11" s="14"/>
      <c r="B11" s="15"/>
    </row>
    <row r="12" spans="1:2" ht="15.85" customHeight="1">
      <c r="A12" s="14" t="s">
        <v>37</v>
      </c>
      <c r="B12" s="15" t="e">
        <f ca="1">getNote(CONCATENATE("'",B2,"'!O",MATCH(B1,'2018-B'!B1:B79)))</f>
        <v>#NAME?</v>
      </c>
    </row>
    <row r="13" spans="1:2" ht="15.85" customHeight="1">
      <c r="A13" s="18"/>
      <c r="B13" s="5"/>
    </row>
    <row r="14" spans="1:2" ht="15.85" customHeight="1">
      <c r="A14" s="1" t="s">
        <v>39</v>
      </c>
      <c r="B14" s="24" t="str">
        <f>VLOOKUP($B$1,'2018-B'!$B$1:$Y$78,16)</f>
        <v>John 3:1-17</v>
      </c>
    </row>
    <row r="15" spans="1:2" ht="15.85" customHeight="1">
      <c r="A15" s="1" t="s">
        <v>45</v>
      </c>
      <c r="B15" t="str">
        <f>VLOOKUP($B$1,'2018-B'!$B$1:$Y$78,17)</f>
        <v>Another shot at life</v>
      </c>
    </row>
    <row r="16" spans="1:2" ht="15.85" customHeight="1">
      <c r="A16" s="12"/>
    </row>
    <row r="17" spans="1:2" ht="15.85" customHeight="1">
      <c r="A17" s="1" t="s">
        <v>48</v>
      </c>
      <c r="B17" s="24" t="str">
        <f>VLOOKUP($B$1,'2018-B'!$B$1:$Y$78,18)</f>
        <v>Isaiah 6:1-8</v>
      </c>
    </row>
    <row r="18" spans="1:2" ht="15.85" customHeight="1">
      <c r="A18" s="1" t="s">
        <v>49</v>
      </c>
      <c r="B18" s="24" t="str">
        <f>VLOOKUP($B$1,'2018-B'!$B$1:$Y$78,19)</f>
        <v>Romans 8:14-17</v>
      </c>
    </row>
    <row r="19" spans="1:2" ht="15.85" customHeight="1">
      <c r="A19" s="1" t="s">
        <v>50</v>
      </c>
      <c r="B19" s="24" t="str">
        <f>VLOOKUP($B$1,'2018-B'!$B$1:$Y$78,20)</f>
        <v xml:space="preserve">John 3:1-17 </v>
      </c>
    </row>
    <row r="20" spans="1:2" ht="15.85" customHeight="1">
      <c r="A20" s="1" t="s">
        <v>51</v>
      </c>
      <c r="B20" s="29" t="str">
        <f>VLOOKUP($B$1,'2018-B'!$B$1:$Y$78,21)</f>
        <v>150</v>
      </c>
    </row>
    <row r="21" spans="1:2" ht="15.85" customHeight="1">
      <c r="A21" s="12"/>
    </row>
    <row r="22" spans="1:2" ht="15.85" customHeight="1">
      <c r="A22" s="1" t="s">
        <v>54</v>
      </c>
      <c r="B22" s="30" t="str">
        <f>VLOOKUP($B$1,'2018-B'!$B$1:$Y$78,22)</f>
        <v>193, 195, (192, 317); Mon: 192</v>
      </c>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B1009"/>
  <sheetViews>
    <sheetView workbookViewId="0">
      <pane xSplit="3" ySplit="1" topLeftCell="D2" activePane="bottomRight" state="frozen"/>
      <selection pane="topRight" activeCell="D1" sqref="D1"/>
      <selection pane="bottomLeft" activeCell="A2" sqref="A2"/>
      <selection pane="bottomRight" activeCell="G3" sqref="G3"/>
    </sheetView>
  </sheetViews>
  <sheetFormatPr defaultColWidth="17.33203125" defaultRowHeight="15.85" customHeight="1"/>
  <cols>
    <col min="1" max="1" width="3.88671875" customWidth="1"/>
    <col min="2" max="2" width="30.6640625" customWidth="1"/>
    <col min="3" max="3" width="25" customWidth="1"/>
    <col min="4" max="4" width="17.44140625" customWidth="1"/>
    <col min="5" max="5" width="10.44140625" customWidth="1"/>
    <col min="6" max="6" width="26.33203125" customWidth="1"/>
    <col min="7" max="7" width="14.5546875" customWidth="1"/>
    <col min="8" max="8" width="3.33203125" customWidth="1"/>
    <col min="9" max="9" width="23.88671875" customWidth="1"/>
    <col min="10" max="10" width="33.44140625" customWidth="1"/>
    <col min="11" max="11" width="7.33203125" customWidth="1"/>
    <col min="12" max="12" width="14.33203125" customWidth="1"/>
    <col min="13" max="13" width="22" customWidth="1"/>
    <col min="14" max="14" width="33.5546875" customWidth="1"/>
    <col min="15" max="15" width="11.6640625" customWidth="1"/>
    <col min="16" max="16" width="11.88671875" customWidth="1"/>
    <col min="17" max="17" width="18.6640625" customWidth="1"/>
    <col min="18" max="18" width="16.109375" customWidth="1"/>
    <col min="19" max="19" width="23.88671875" customWidth="1"/>
    <col min="20" max="20" width="46.88671875" customWidth="1"/>
    <col min="21" max="21" width="24.33203125" customWidth="1"/>
    <col min="22" max="22" width="23.5546875" customWidth="1"/>
    <col min="23" max="23" width="22.109375" customWidth="1"/>
    <col min="24" max="24" width="20.109375" customWidth="1"/>
    <col min="25" max="25" width="31.6640625" customWidth="1"/>
    <col min="26" max="26" width="7" customWidth="1"/>
    <col min="27" max="28" width="29.5546875" customWidth="1"/>
  </cols>
  <sheetData>
    <row r="1" spans="1:28">
      <c r="A1" s="2"/>
      <c r="B1" s="4" t="s">
        <v>0</v>
      </c>
      <c r="C1" s="6" t="s">
        <v>3</v>
      </c>
      <c r="D1" s="7" t="s">
        <v>5</v>
      </c>
      <c r="E1" s="7" t="s">
        <v>6</v>
      </c>
      <c r="F1" s="7" t="s">
        <v>7</v>
      </c>
      <c r="G1" s="8" t="s">
        <v>8</v>
      </c>
      <c r="H1" s="8" t="s">
        <v>10</v>
      </c>
      <c r="I1" s="7" t="s">
        <v>11</v>
      </c>
      <c r="J1" s="4" t="s">
        <v>12</v>
      </c>
      <c r="K1" s="4" t="s">
        <v>14</v>
      </c>
      <c r="L1" s="7" t="s">
        <v>15</v>
      </c>
      <c r="M1" s="7" t="s">
        <v>16</v>
      </c>
      <c r="N1" s="7" t="s">
        <v>17</v>
      </c>
      <c r="O1" s="7" t="s">
        <v>18</v>
      </c>
      <c r="P1" s="7" t="s">
        <v>19</v>
      </c>
      <c r="Q1" s="7" t="s">
        <v>20</v>
      </c>
      <c r="R1" s="7" t="s">
        <v>21</v>
      </c>
      <c r="S1" s="7" t="s">
        <v>22</v>
      </c>
      <c r="T1" s="7" t="s">
        <v>23</v>
      </c>
      <c r="U1" s="7" t="s">
        <v>24</v>
      </c>
      <c r="V1" s="7" t="s">
        <v>25</v>
      </c>
      <c r="W1" s="7" t="s">
        <v>26</v>
      </c>
      <c r="X1" s="10" t="str">
        <f>HYPERLINK("https://www.biblegateway.com/passage/?search=Psalm Psalm of the Day", "Psalm of the Day")</f>
        <v>Psalm of the Day</v>
      </c>
      <c r="Y1" s="11" t="s">
        <v>31</v>
      </c>
      <c r="Z1" s="13" t="s">
        <v>32</v>
      </c>
      <c r="AA1" s="13" t="s">
        <v>34</v>
      </c>
      <c r="AB1" s="13" t="s">
        <v>36</v>
      </c>
    </row>
    <row r="2" spans="1:28">
      <c r="A2" s="16">
        <f t="shared" ref="A2:A24" si="0">WEEKNUM(B2,2)-WEEKNUM(DATE(YEAR(B2),MONTH(B2),1),2)+1</f>
        <v>1</v>
      </c>
      <c r="B2" s="17">
        <v>42736</v>
      </c>
      <c r="C2" s="21" t="s">
        <v>41</v>
      </c>
      <c r="D2" s="20" t="s">
        <v>43</v>
      </c>
      <c r="E2" s="20" t="s">
        <v>43</v>
      </c>
      <c r="F2" s="20" t="s">
        <v>44</v>
      </c>
      <c r="G2" s="23"/>
      <c r="H2" s="23" t="str">
        <f t="shared" ref="H2:H10" si="1">IF(OR(A2=2,A2=4,A2=5),"X","")</f>
        <v/>
      </c>
      <c r="I2" s="25"/>
      <c r="J2" s="27" t="s">
        <v>47</v>
      </c>
      <c r="K2" s="25"/>
      <c r="L2" s="28" t="str">
        <f>HYPERLINK("https://drive.google.com/drive/folders/0B4o9FS6Fg-3eSW1lcUdsdm1BZnM","Service Notes")</f>
        <v>Service Notes</v>
      </c>
      <c r="M2" s="25"/>
      <c r="N2" s="5" t="s">
        <v>53</v>
      </c>
      <c r="O2" s="25"/>
      <c r="P2" s="25"/>
      <c r="Q2" s="20" t="s">
        <v>55</v>
      </c>
      <c r="R2" s="25"/>
      <c r="S2" s="31" t="str">
        <f>HYPERLINK("https://www.biblegateway.com/passage/?search=Galatians 4:4-7", "Galatians 4:4-7")</f>
        <v>Galatians 4:4-7</v>
      </c>
      <c r="T2" s="25"/>
      <c r="U2" s="31" t="str">
        <f>HYPERLINK("https://www.biblegateway.com/passage/?search=Isaiah 63:7-9", "Isaiah 63:7-9")</f>
        <v>Isaiah 63:7-9</v>
      </c>
      <c r="V2" s="31" t="str">
        <f>HYPERLINK("https://www.biblegateway.com/passage/?search=Galatians 4:4-7", "Galatians 4:4-7")</f>
        <v>Galatians 4:4-7</v>
      </c>
      <c r="W2" s="31" t="str">
        <f>HYPERLINK("https://www.biblegateway.com/passage/?search=Matthew 2:13-15,19-23", "Matthew 2:13-15,19-23")</f>
        <v>Matthew 2:13-15,19-23</v>
      </c>
      <c r="X2" s="32" t="str">
        <f>HYPERLINK("https://www.biblegateway.com/passage/?search=Psalm 2", "2")</f>
        <v>2</v>
      </c>
      <c r="Y2" s="33" t="s">
        <v>58</v>
      </c>
      <c r="Z2" s="34"/>
      <c r="AA2" s="33"/>
      <c r="AB2" s="35" t="s">
        <v>60</v>
      </c>
    </row>
    <row r="3" spans="1:28">
      <c r="A3" s="16">
        <f t="shared" si="0"/>
        <v>2</v>
      </c>
      <c r="B3" s="37">
        <f t="shared" ref="B3:B10" si="2">B2+7</f>
        <v>42743</v>
      </c>
      <c r="C3" s="21" t="s">
        <v>38</v>
      </c>
      <c r="D3" s="20" t="s">
        <v>63</v>
      </c>
      <c r="E3" s="20" t="s">
        <v>43</v>
      </c>
      <c r="F3" s="20" t="s">
        <v>64</v>
      </c>
      <c r="G3" s="23"/>
      <c r="H3" s="23" t="str">
        <f t="shared" si="1"/>
        <v>X</v>
      </c>
      <c r="I3" s="20" t="s">
        <v>46</v>
      </c>
      <c r="J3" s="38" t="s">
        <v>65</v>
      </c>
      <c r="K3" s="20"/>
      <c r="L3" s="28" t="str">
        <f>HYPERLINK("https://drive.google.com/drive/u/0/folders/0B4o9FS6Fg-3eaUtTdXEwSWlHd0U","Service Notes")</f>
        <v>Service Notes</v>
      </c>
      <c r="M3" s="25"/>
      <c r="N3" s="20" t="s">
        <v>69</v>
      </c>
      <c r="O3" s="25"/>
      <c r="P3" s="25"/>
      <c r="Q3" s="20" t="s">
        <v>56</v>
      </c>
      <c r="R3" s="25"/>
      <c r="S3" s="31" t="str">
        <f>HYPERLINK("https://www.biblegateway.com/passage/?search=Matthew 3:13-17", "Matthew 3:13-17")</f>
        <v>Matthew 3:13-17</v>
      </c>
      <c r="T3" s="20" t="s">
        <v>73</v>
      </c>
      <c r="U3" s="31" t="str">
        <f>HYPERLINK("https://www.biblegateway.com/passage/?search=Isaiah 42:1-7", "Isaiah 42:1-7")</f>
        <v>Isaiah 42:1-7</v>
      </c>
      <c r="V3" s="31" t="str">
        <f>HYPERLINK("https://www.biblegateway.com/passage/?search=Acts 10:34-38", "Acts 10:34-38")</f>
        <v>Acts 10:34-38</v>
      </c>
      <c r="W3" s="31" t="str">
        <f>HYPERLINK("https://www.biblegateway.com/passage/?search=Matthew 3:13-17", "Matthew 3:13-17")</f>
        <v>Matthew 3:13-17</v>
      </c>
      <c r="X3" s="32" t="str">
        <f>HYPERLINK("https://www.biblegateway.com/passage/?search=Psalm 45", "45")</f>
        <v>45</v>
      </c>
      <c r="Y3" s="48" t="s">
        <v>79</v>
      </c>
      <c r="Z3" s="34"/>
      <c r="AA3" s="33" t="s">
        <v>80</v>
      </c>
      <c r="AB3" s="35" t="s">
        <v>60</v>
      </c>
    </row>
    <row r="4" spans="1:28">
      <c r="A4" s="16">
        <f t="shared" si="0"/>
        <v>3</v>
      </c>
      <c r="B4" s="41">
        <f t="shared" si="2"/>
        <v>42750</v>
      </c>
      <c r="C4" s="50" t="s">
        <v>71</v>
      </c>
      <c r="D4" s="43" t="s">
        <v>46</v>
      </c>
      <c r="E4" s="43" t="s">
        <v>43</v>
      </c>
      <c r="F4" s="43" t="s">
        <v>44</v>
      </c>
      <c r="G4" s="45"/>
      <c r="H4" s="45" t="str">
        <f t="shared" si="1"/>
        <v/>
      </c>
      <c r="I4" s="43" t="s">
        <v>82</v>
      </c>
      <c r="J4" s="38" t="s">
        <v>65</v>
      </c>
      <c r="K4" s="43"/>
      <c r="L4" s="49" t="str">
        <f>HYPERLINK("https://drive.google.com/drive/u/0/folders/0B4o9FS6Fg-3ea3psSU5KdFhWQWc","Service Notes")</f>
        <v>Service Notes</v>
      </c>
      <c r="M4" s="51"/>
      <c r="N4" s="43" t="s">
        <v>91</v>
      </c>
      <c r="O4" s="51"/>
      <c r="P4" s="51"/>
      <c r="Q4" s="43" t="s">
        <v>84</v>
      </c>
      <c r="R4" s="51"/>
      <c r="S4" s="52" t="str">
        <f>HYPERLINK("https://www.biblegateway.com/passage/?search=Isaiah 49:1-6", "Isaiah 49:1-6")</f>
        <v>Isaiah 49:1-6</v>
      </c>
      <c r="T4" s="43" t="s">
        <v>96</v>
      </c>
      <c r="U4" s="52" t="str">
        <f>HYPERLINK("https://www.biblegateway.com/passage/?search=Isaiah 49:1-6", "Isaiah 49:1-6")</f>
        <v>Isaiah 49:1-6</v>
      </c>
      <c r="V4" s="52" t="str">
        <f>HYPERLINK("https://www.biblegateway.com/passage/?search=1 Cor 1:1-9", "1 Cor 1:1-9")</f>
        <v>1 Cor 1:1-9</v>
      </c>
      <c r="W4" s="52" t="str">
        <f>HYPERLINK("https://www.biblegateway.com/passage/?search=John 1:29-41", "John 1:29-41")</f>
        <v>John 1:29-41</v>
      </c>
      <c r="X4" s="54" t="str">
        <f>HYPERLINK("https://www.biblegateway.com/passage/?search=Psalm 89", "89")</f>
        <v>89</v>
      </c>
      <c r="Y4" s="47" t="s">
        <v>100</v>
      </c>
      <c r="Z4" s="34"/>
      <c r="AA4" s="47" t="s">
        <v>101</v>
      </c>
      <c r="AB4" s="55" t="s">
        <v>60</v>
      </c>
    </row>
    <row r="5" spans="1:28">
      <c r="A5" s="16">
        <f t="shared" si="0"/>
        <v>4</v>
      </c>
      <c r="B5" s="41">
        <f t="shared" si="2"/>
        <v>42757</v>
      </c>
      <c r="C5" s="50" t="s">
        <v>93</v>
      </c>
      <c r="D5" s="43" t="s">
        <v>40</v>
      </c>
      <c r="E5" s="43" t="s">
        <v>43</v>
      </c>
      <c r="F5" s="43" t="s">
        <v>90</v>
      </c>
      <c r="G5" s="44"/>
      <c r="H5" s="44" t="str">
        <f t="shared" si="1"/>
        <v>X</v>
      </c>
      <c r="I5" s="43" t="s">
        <v>46</v>
      </c>
      <c r="J5" s="38" t="s">
        <v>65</v>
      </c>
      <c r="K5" s="51"/>
      <c r="L5" s="49" t="str">
        <f>HYPERLINK("https://drive.google.com/drive/u/0/folders/0B4o9FS6Fg-3edXJpZ191UUFvX3c","Service Notes")</f>
        <v>Service Notes</v>
      </c>
      <c r="M5" s="56"/>
      <c r="N5" s="43" t="s">
        <v>105</v>
      </c>
      <c r="O5" s="51"/>
      <c r="P5" s="51"/>
      <c r="Q5" s="43" t="s">
        <v>99</v>
      </c>
      <c r="R5" s="51"/>
      <c r="S5" s="52" t="str">
        <f>HYPERLINK("https://www.biblegateway.com/passage/?search=1 Cor 1:10-17 ", "1 Cor 1:10-17 ")</f>
        <v xml:space="preserve">1 Cor 1:10-17 </v>
      </c>
      <c r="T5" s="43" t="s">
        <v>108</v>
      </c>
      <c r="U5" s="52" t="str">
        <f>HYPERLINK("https://www.biblegateway.com/passage/?search=Isaiah 9:1-4", "Isaiah 9:1-4")</f>
        <v>Isaiah 9:1-4</v>
      </c>
      <c r="V5" s="52" t="str">
        <f>HYPERLINK("https://www.biblegateway.com/passage/?search=1 Cor 1:10-17", "1 Cor 1:10-17")</f>
        <v>1 Cor 1:10-17</v>
      </c>
      <c r="W5" s="52" t="str">
        <f>HYPERLINK("https://www.biblegateway.com/passage/?search=Matthew 4:12-23", "Matthew 4:12-23")</f>
        <v>Matthew 4:12-23</v>
      </c>
      <c r="X5" s="54" t="str">
        <f>HYPERLINK("https://www.biblegateway.com/passage/?search=Psalm 27", "27")</f>
        <v>27</v>
      </c>
      <c r="Y5" s="57" t="s">
        <v>114</v>
      </c>
      <c r="Z5" s="34"/>
      <c r="AA5" s="47" t="s">
        <v>115</v>
      </c>
      <c r="AB5" s="55" t="s">
        <v>60</v>
      </c>
    </row>
    <row r="6" spans="1:28">
      <c r="A6" s="16">
        <f t="shared" si="0"/>
        <v>5</v>
      </c>
      <c r="B6" s="41">
        <f t="shared" si="2"/>
        <v>42764</v>
      </c>
      <c r="C6" s="50" t="s">
        <v>107</v>
      </c>
      <c r="D6" s="43" t="s">
        <v>46</v>
      </c>
      <c r="E6" s="43" t="s">
        <v>46</v>
      </c>
      <c r="F6" s="43" t="s">
        <v>44</v>
      </c>
      <c r="G6" s="45"/>
      <c r="H6" s="45" t="str">
        <f t="shared" si="1"/>
        <v>X</v>
      </c>
      <c r="I6" s="27" t="s">
        <v>121</v>
      </c>
      <c r="J6" s="27" t="s">
        <v>121</v>
      </c>
      <c r="K6" s="43"/>
      <c r="L6" s="49" t="str">
        <f>HYPERLINK("https://drive.google.com/drive/u/0/folders/0B4o9FS6Fg-3eTXBIOHBSb25sd0k","Service Notes")</f>
        <v>Service Notes</v>
      </c>
      <c r="M6" s="59"/>
      <c r="N6" s="43" t="s">
        <v>126</v>
      </c>
      <c r="O6" s="43"/>
      <c r="P6" s="51"/>
      <c r="Q6" s="43" t="s">
        <v>111</v>
      </c>
      <c r="R6" s="51"/>
      <c r="S6" s="60" t="str">
        <f>HYPERLINK("https://www.biblegateway.com/passage/?search=Psalm 1", "Psalm 1")</f>
        <v>Psalm 1</v>
      </c>
      <c r="T6" s="43" t="s">
        <v>132</v>
      </c>
      <c r="U6" s="60" t="str">
        <f>HYPERLINK("https://www.biblegateway.com/passage/?search=NA", "NA")</f>
        <v>NA</v>
      </c>
      <c r="V6" s="52" t="str">
        <f>HYPERLINK("https://www.biblegateway.com/passage/?search=1 Cor 1:26-31", "1 Cor 1:26-31")</f>
        <v>1 Cor 1:26-31</v>
      </c>
      <c r="W6" s="52" t="str">
        <f>HYPERLINK("https://www.biblegateway.com/passage/?search=Matthew 5:1-12", "Matthew 5:1-12")</f>
        <v>Matthew 5:1-12</v>
      </c>
      <c r="X6" s="54" t="str">
        <f>HYPERLINK("https://www.biblegateway.com/passage/?search=Psalm 1", "1")</f>
        <v>1</v>
      </c>
      <c r="Y6" s="57" t="s">
        <v>138</v>
      </c>
      <c r="Z6" s="34"/>
      <c r="AA6" s="47" t="s">
        <v>139</v>
      </c>
      <c r="AB6" s="55" t="s">
        <v>60</v>
      </c>
    </row>
    <row r="7" spans="1:28">
      <c r="A7" s="16">
        <f t="shared" si="0"/>
        <v>1</v>
      </c>
      <c r="B7" s="41">
        <f t="shared" si="2"/>
        <v>42771</v>
      </c>
      <c r="C7" s="50" t="s">
        <v>140</v>
      </c>
      <c r="D7" s="43" t="s">
        <v>43</v>
      </c>
      <c r="E7" s="43" t="s">
        <v>40</v>
      </c>
      <c r="F7" s="43" t="s">
        <v>64</v>
      </c>
      <c r="G7" s="44"/>
      <c r="H7" s="44" t="str">
        <f t="shared" si="1"/>
        <v/>
      </c>
      <c r="I7" s="43" t="s">
        <v>46</v>
      </c>
      <c r="J7" s="62" t="s">
        <v>141</v>
      </c>
      <c r="K7" s="51"/>
      <c r="L7" s="49" t="str">
        <f>HYPERLINK("https://drive.google.com/drive/folders/0B4o9FS6Fg-3eVko4YTBxaWMxcnM","Service Notes")</f>
        <v>Service Notes</v>
      </c>
      <c r="M7" s="51"/>
      <c r="N7" s="43" t="s">
        <v>145</v>
      </c>
      <c r="O7" s="51"/>
      <c r="P7" s="51"/>
      <c r="Q7" s="43" t="s">
        <v>146</v>
      </c>
      <c r="R7" s="51"/>
      <c r="S7" s="52" t="str">
        <f>HYPERLINK("https://www.biblegateway.com/passage/?search=Isaiah 58:5-9a", "Isaiah 58:5-9a")</f>
        <v>Isaiah 58:5-9a</v>
      </c>
      <c r="T7" s="43" t="s">
        <v>156</v>
      </c>
      <c r="U7" s="52" t="str">
        <f>HYPERLINK("https://www.biblegateway.com/passage/?search=Isaiah 58:5-9a", "Isaiah 58:5-9a")</f>
        <v>Isaiah 58:5-9a</v>
      </c>
      <c r="V7" s="60" t="str">
        <f>HYPERLINK("https://www.biblegateway.com/passage/?search=1 Cor 2:1-5", "1 Cor 2:1-5")</f>
        <v>1 Cor 2:1-5</v>
      </c>
      <c r="W7" s="52" t="str">
        <f>HYPERLINK("https://www.biblegateway.com/passage/?search=Matthew 5:13-20", "Matthew 5:13-20")</f>
        <v>Matthew 5:13-20</v>
      </c>
      <c r="X7" s="54" t="str">
        <f>HYPERLINK("https://www.biblegateway.com/passage/?search=Psalm 111", "111")</f>
        <v>111</v>
      </c>
      <c r="Y7" s="72" t="s">
        <v>166</v>
      </c>
      <c r="Z7" s="34"/>
      <c r="AA7" s="47" t="s">
        <v>152</v>
      </c>
      <c r="AB7" s="55" t="s">
        <v>168</v>
      </c>
    </row>
    <row r="8" spans="1:28">
      <c r="A8" s="16">
        <f t="shared" si="0"/>
        <v>2</v>
      </c>
      <c r="B8" s="41">
        <f t="shared" si="2"/>
        <v>42778</v>
      </c>
      <c r="C8" s="50" t="s">
        <v>169</v>
      </c>
      <c r="D8" s="43" t="s">
        <v>46</v>
      </c>
      <c r="E8" s="43" t="s">
        <v>40</v>
      </c>
      <c r="F8" s="43" t="s">
        <v>64</v>
      </c>
      <c r="G8" s="45"/>
      <c r="H8" s="45" t="str">
        <f t="shared" si="1"/>
        <v>X</v>
      </c>
      <c r="I8" s="43" t="s">
        <v>82</v>
      </c>
      <c r="J8" s="62" t="s">
        <v>141</v>
      </c>
      <c r="K8" s="51"/>
      <c r="L8" s="49" t="str">
        <f>HYPERLINK("https://drive.google.com/drive/u/0/folders/0B4o9FS6Fg-3eTVl6SlMxTTNLMmc","Service Notes")</f>
        <v>Service Notes</v>
      </c>
      <c r="M8" s="51"/>
      <c r="N8" s="43" t="s">
        <v>171</v>
      </c>
      <c r="O8" s="51"/>
      <c r="P8" s="51"/>
      <c r="Q8" s="43" t="s">
        <v>176</v>
      </c>
      <c r="R8" s="51"/>
      <c r="S8" s="52" t="str">
        <f>HYPERLINK("https://www.biblegateway.com/passage/?search=1 Cor 2:6-13", "1 Cor 2:6-13")</f>
        <v>1 Cor 2:6-13</v>
      </c>
      <c r="T8" s="43" t="s">
        <v>179</v>
      </c>
      <c r="U8" s="52" t="str">
        <f>HYPERLINK("https://www.biblegateway.com/passage/?search=Deut. 30:15-20", "Deut. 30:15-20")</f>
        <v>Deut. 30:15-20</v>
      </c>
      <c r="V8" s="52" t="str">
        <f>HYPERLINK("https://www.biblegateway.com/passage/?search=1 Cor 2:6-13", "1 Cor 2:6-13")</f>
        <v>1 Cor 2:6-13</v>
      </c>
      <c r="W8" s="60" t="str">
        <f>HYPERLINK("https://www.biblegateway.com/passage/?search=Matthew 5:21-37", "Matthew 5:21-37")</f>
        <v>Matthew 5:21-37</v>
      </c>
      <c r="X8" s="54" t="str">
        <f>HYPERLINK("https://www.biblegateway.com/passage/?search=Psalm 119a", "119a")</f>
        <v>119a</v>
      </c>
      <c r="Y8" s="76" t="s">
        <v>181</v>
      </c>
      <c r="Z8" s="34"/>
      <c r="AA8" s="47" t="s">
        <v>182</v>
      </c>
      <c r="AB8" s="55" t="s">
        <v>168</v>
      </c>
    </row>
    <row r="9" spans="1:28">
      <c r="A9" s="16">
        <f t="shared" si="0"/>
        <v>3</v>
      </c>
      <c r="B9" s="41">
        <f t="shared" si="2"/>
        <v>42785</v>
      </c>
      <c r="C9" s="50" t="s">
        <v>183</v>
      </c>
      <c r="D9" s="43" t="s">
        <v>43</v>
      </c>
      <c r="E9" s="43" t="s">
        <v>40</v>
      </c>
      <c r="F9" s="43" t="s">
        <v>64</v>
      </c>
      <c r="G9" s="44"/>
      <c r="H9" s="44" t="str">
        <f t="shared" si="1"/>
        <v/>
      </c>
      <c r="I9" s="43" t="s">
        <v>46</v>
      </c>
      <c r="J9" s="62" t="s">
        <v>141</v>
      </c>
      <c r="K9" s="51"/>
      <c r="L9" s="49" t="str">
        <f>HYPERLINK("https://drive.google.com/drive/u/0/folders/0B4o9FS6Fg-3eNnRvNGJTLU9HdnM","Service Notes")</f>
        <v>Service Notes</v>
      </c>
      <c r="M9" s="51"/>
      <c r="N9" s="43" t="s">
        <v>186</v>
      </c>
      <c r="O9" s="51"/>
      <c r="P9" s="51"/>
      <c r="Q9" s="43" t="s">
        <v>190</v>
      </c>
      <c r="R9" s="51"/>
      <c r="S9" s="52" t="str">
        <f>HYPERLINK("https://www.biblegateway.com/passage/?search=Matthew 5:38-48", "Matthew 5:38-48")</f>
        <v>Matthew 5:38-48</v>
      </c>
      <c r="T9" s="43" t="s">
        <v>191</v>
      </c>
      <c r="U9" s="52" t="str">
        <f>HYPERLINK("https://www.biblegateway.com/passage/?search=Lev. 19:1,2,17,18", "Lev. 19:1,2,17,18")</f>
        <v>Lev. 19:1,2,17,18</v>
      </c>
      <c r="V9" s="52" t="str">
        <f>HYPERLINK("https://www.biblegateway.com/passage/?search=1 Cor 3:10,11,16-23", "1 Cor 3:10,11,16-23")</f>
        <v>1 Cor 3:10,11,16-23</v>
      </c>
      <c r="W9" s="52" t="str">
        <f>HYPERLINK("https://www.biblegateway.com/passage/?search=Matthew 5:38-48", "Matthew 5:38-48")</f>
        <v>Matthew 5:38-48</v>
      </c>
      <c r="X9" s="54" t="str">
        <f>HYPERLINK("https://www.biblegateway.com/passage/?search=Psalm 103", "103")</f>
        <v>103</v>
      </c>
      <c r="Y9" s="80" t="s">
        <v>198</v>
      </c>
      <c r="Z9" s="34"/>
      <c r="AA9" s="47" t="s">
        <v>118</v>
      </c>
      <c r="AB9" s="55" t="s">
        <v>168</v>
      </c>
    </row>
    <row r="10" spans="1:28">
      <c r="A10" s="16">
        <f t="shared" si="0"/>
        <v>4</v>
      </c>
      <c r="B10" s="37">
        <f t="shared" si="2"/>
        <v>42792</v>
      </c>
      <c r="C10" s="21" t="s">
        <v>136</v>
      </c>
      <c r="D10" s="20" t="s">
        <v>63</v>
      </c>
      <c r="E10" s="20" t="s">
        <v>40</v>
      </c>
      <c r="F10" s="20" t="s">
        <v>202</v>
      </c>
      <c r="G10" s="23"/>
      <c r="H10" s="23" t="str">
        <f t="shared" si="1"/>
        <v>X</v>
      </c>
      <c r="I10" s="20" t="s">
        <v>46</v>
      </c>
      <c r="J10" s="62" t="s">
        <v>141</v>
      </c>
      <c r="K10" s="25"/>
      <c r="L10" s="28" t="str">
        <f>HYPERLINK("https://drive.google.com/drive/folders/0B4o9FS6Fg-3eVUNQbjkzNm41djA","Service Notes")</f>
        <v>Service Notes</v>
      </c>
      <c r="M10" s="25"/>
      <c r="N10" s="20" t="s">
        <v>105</v>
      </c>
      <c r="O10" s="25"/>
      <c r="P10" s="25"/>
      <c r="Q10" s="20" t="s">
        <v>154</v>
      </c>
      <c r="R10" s="25"/>
      <c r="S10" s="31" t="str">
        <f>HYPERLINK("https://www.biblegateway.com/passage/?search=2 Peter 1:16-21", "2 Peter 1:16-21")</f>
        <v>2 Peter 1:16-21</v>
      </c>
      <c r="T10" s="20" t="s">
        <v>206</v>
      </c>
      <c r="U10" s="81" t="str">
        <f>HYPERLINK("https://www.biblegateway.com/passage/?search=Exodus 24:12,15-18", "Exodus 24:12,15-18")</f>
        <v>Exodus 24:12,15-18</v>
      </c>
      <c r="V10" s="31" t="str">
        <f>HYPERLINK("https://www.biblegateway.com/passage/?search=2 Peter 1:16-21", "2 Peter 1:16-21")</f>
        <v>2 Peter 1:16-21</v>
      </c>
      <c r="W10" s="31" t="str">
        <f>HYPERLINK("https://www.biblegateway.com/passage/?search=Matthew 17:1-9", "Matthew 17:1-9")</f>
        <v>Matthew 17:1-9</v>
      </c>
      <c r="X10" s="32" t="str">
        <f>HYPERLINK("https://www.biblegateway.com/passage/?search=Psalm 148", "148")</f>
        <v>148</v>
      </c>
      <c r="Y10" s="33" t="s">
        <v>208</v>
      </c>
      <c r="Z10" s="34"/>
      <c r="AA10" s="33" t="s">
        <v>209</v>
      </c>
      <c r="AB10" s="35" t="s">
        <v>168</v>
      </c>
    </row>
    <row r="11" spans="1:28">
      <c r="A11" s="16">
        <f t="shared" si="0"/>
        <v>1</v>
      </c>
      <c r="B11" s="68">
        <f>B10+3</f>
        <v>42795</v>
      </c>
      <c r="C11" s="85" t="s">
        <v>153</v>
      </c>
      <c r="D11" s="70" t="s">
        <v>46</v>
      </c>
      <c r="E11" s="70" t="s">
        <v>40</v>
      </c>
      <c r="F11" s="70" t="s">
        <v>64</v>
      </c>
      <c r="G11" s="71"/>
      <c r="H11" s="71" t="s">
        <v>167</v>
      </c>
      <c r="I11" s="69"/>
      <c r="J11" s="69"/>
      <c r="K11" s="70"/>
      <c r="L11" s="74" t="str">
        <f>HYPERLINK("https://drive.google.com/drive/folders/0B4o9FS6Fg-3eTzU3RDRZZExPLTg","Service Notes")</f>
        <v>Service Notes</v>
      </c>
      <c r="M11" s="69"/>
      <c r="N11" s="70" t="s">
        <v>216</v>
      </c>
      <c r="O11" s="69"/>
      <c r="P11" s="69"/>
      <c r="Q11" s="70"/>
      <c r="R11" s="69"/>
      <c r="S11" s="87" t="str">
        <f>HYPERLINK("https://www.biblegateway.com/passage/?search=Luke 18:9-14", "Luke 18:9-14")</f>
        <v>Luke 18:9-14</v>
      </c>
      <c r="T11" s="70" t="s">
        <v>222</v>
      </c>
      <c r="U11" s="77" t="str">
        <f>HYPERLINK("https://www.biblegateway.com/passage/?search=Isaiah 59:12-20", "Isaiah 59:12-20")</f>
        <v>Isaiah 59:12-20</v>
      </c>
      <c r="V11" s="77" t="str">
        <f>HYPERLINK("https://www.biblegateway.com/passage/?search=2 Cor 5:20b-6:2", "2 Cor 5:20b-6:2")</f>
        <v>2 Cor 5:20b-6:2</v>
      </c>
      <c r="W11" s="77" t="str">
        <f>HYPERLINK("https://www.biblegateway.com/passage/?search=Luke 18:9-14", "Luke 18:9-14")</f>
        <v>Luke 18:9-14</v>
      </c>
      <c r="X11" s="83" t="str">
        <f>HYPERLINK("https://www.biblegateway.com/passage/?search=Psalm 51a", "51a")</f>
        <v>51a</v>
      </c>
      <c r="Y11" s="75" t="s">
        <v>227</v>
      </c>
      <c r="Z11" s="34"/>
      <c r="AA11" s="75" t="s">
        <v>228</v>
      </c>
      <c r="AB11" s="88" t="s">
        <v>40</v>
      </c>
    </row>
    <row r="12" spans="1:28">
      <c r="A12" s="16">
        <f t="shared" si="0"/>
        <v>1</v>
      </c>
      <c r="B12" s="68">
        <f>B10+7</f>
        <v>42799</v>
      </c>
      <c r="C12" s="85" t="s">
        <v>163</v>
      </c>
      <c r="D12" s="70" t="s">
        <v>60</v>
      </c>
      <c r="E12" s="70" t="s">
        <v>46</v>
      </c>
      <c r="F12" s="70" t="s">
        <v>44</v>
      </c>
      <c r="G12" s="71"/>
      <c r="H12" s="71" t="str">
        <f>IF(OR(A12=2,A12=4,A12=5),"X","")</f>
        <v/>
      </c>
      <c r="I12" s="70" t="s">
        <v>46</v>
      </c>
      <c r="J12" s="62" t="s">
        <v>141</v>
      </c>
      <c r="K12" s="70"/>
      <c r="L12" s="69"/>
      <c r="M12" s="69"/>
      <c r="N12" s="70" t="s">
        <v>126</v>
      </c>
      <c r="O12" s="69"/>
      <c r="P12" s="69"/>
      <c r="Q12" s="70" t="s">
        <v>177</v>
      </c>
      <c r="R12" s="69"/>
      <c r="S12" s="87" t="str">
        <f>HYPERLINK("https://www.biblegateway.com/passage/?search=Ephesians 2:4-10", "Ephesians 2:4-10")</f>
        <v>Ephesians 2:4-10</v>
      </c>
      <c r="T12" s="70" t="s">
        <v>239</v>
      </c>
      <c r="U12" s="77" t="str">
        <f>HYPERLINK("https://www.biblegateway.com/passage/?search=Gen 2:7-9,15-17;3:1-7", "Gen 2:7-9,15-17;3:1-7")</f>
        <v>Gen 2:7-9,15-17;3:1-7</v>
      </c>
      <c r="V12" s="77" t="str">
        <f>HYPERLINK("https://www.biblegateway.com/passage/?search=Romans 5:12-19", "Romans 5:12-19")</f>
        <v>Romans 5:12-19</v>
      </c>
      <c r="W12" s="87" t="str">
        <f>HYPERLINK("https://www.biblegateway.com/passage/?search=Matthew 4:1-11", "Matthew 4:1-11")</f>
        <v>Matthew 4:1-11</v>
      </c>
      <c r="X12" s="83" t="str">
        <f>HYPERLINK("https://www.biblegateway.com/passage/?search=Psalm 130", "130")</f>
        <v>130</v>
      </c>
      <c r="Y12" s="90" t="s">
        <v>252</v>
      </c>
      <c r="Z12" s="34"/>
      <c r="AA12" s="75" t="s">
        <v>253</v>
      </c>
      <c r="AB12" s="88" t="s">
        <v>254</v>
      </c>
    </row>
    <row r="13" spans="1:28">
      <c r="A13" s="16">
        <f t="shared" si="0"/>
        <v>2</v>
      </c>
      <c r="B13" s="91">
        <f>B12+3</f>
        <v>42802</v>
      </c>
      <c r="C13" s="85" t="s">
        <v>187</v>
      </c>
      <c r="D13" s="70" t="s">
        <v>256</v>
      </c>
      <c r="E13" s="70" t="s">
        <v>40</v>
      </c>
      <c r="F13" s="70" t="s">
        <v>64</v>
      </c>
      <c r="G13" s="78"/>
      <c r="H13" s="78"/>
      <c r="I13" s="69"/>
      <c r="J13" s="69"/>
      <c r="K13" s="69"/>
      <c r="L13" s="74" t="str">
        <f>HYPERLINK("https://drive.google.com/drive/folders/0B4o9FS6Fg-3eZW1yTzBEX19USUE","Service Notes")</f>
        <v>Service Notes</v>
      </c>
      <c r="M13" s="69"/>
      <c r="N13" s="70" t="s">
        <v>261</v>
      </c>
      <c r="O13" s="69"/>
      <c r="P13" s="69"/>
      <c r="Q13" s="69"/>
      <c r="R13" s="69"/>
      <c r="S13" s="87" t="str">
        <f>HYPERLINK("https://www.biblegateway.com/passage/?search=Luke 7:44-50", "Luke 7:44-50")</f>
        <v>Luke 7:44-50</v>
      </c>
      <c r="T13" s="70" t="s">
        <v>272</v>
      </c>
      <c r="U13" s="87" t="str">
        <f>HYPERLINK("https://www.biblegateway.com/passage/?search=Passion History Part 1", "Passion History Part 1")</f>
        <v>Passion History Part 1</v>
      </c>
      <c r="V13" s="69"/>
      <c r="W13" s="69"/>
      <c r="X13" s="83" t="str">
        <f>HYPERLINK("https://www.biblegateway.com/passage/?search=Psalm none", "none")</f>
        <v>none</v>
      </c>
      <c r="Y13" s="75" t="s">
        <v>274</v>
      </c>
      <c r="Z13" s="34"/>
      <c r="AA13" s="75" t="s">
        <v>277</v>
      </c>
      <c r="AB13" s="88" t="s">
        <v>40</v>
      </c>
    </row>
    <row r="14" spans="1:28">
      <c r="A14" s="16">
        <f t="shared" si="0"/>
        <v>2</v>
      </c>
      <c r="B14" s="68">
        <f>B12+7</f>
        <v>42806</v>
      </c>
      <c r="C14" s="85" t="s">
        <v>197</v>
      </c>
      <c r="D14" s="70" t="s">
        <v>46</v>
      </c>
      <c r="E14" s="70" t="s">
        <v>40</v>
      </c>
      <c r="F14" s="70" t="s">
        <v>64</v>
      </c>
      <c r="G14" s="78"/>
      <c r="H14" s="78" t="str">
        <f>IF(OR(A14=2,A14=4,A14=5),"X","")</f>
        <v>X</v>
      </c>
      <c r="I14" s="70" t="s">
        <v>43</v>
      </c>
      <c r="J14" s="62" t="s">
        <v>141</v>
      </c>
      <c r="K14" s="69"/>
      <c r="L14" s="74" t="str">
        <f>HYPERLINK("https://drive.google.com/drive/folders/0B4o9FS6Fg-3eLWotQ1NrdE9Ha3M","Service Notes")</f>
        <v>Service Notes</v>
      </c>
      <c r="M14" s="69"/>
      <c r="N14" s="70" t="s">
        <v>285</v>
      </c>
      <c r="O14" s="69"/>
      <c r="P14" s="69"/>
      <c r="Q14" s="70" t="s">
        <v>203</v>
      </c>
      <c r="R14" s="69"/>
      <c r="S14" s="77" t="str">
        <f>HYPERLINK("https://www.biblegateway.com/passage/?search=John 4:5-26", "John 4:5-26")</f>
        <v>John 4:5-26</v>
      </c>
      <c r="T14" s="70" t="s">
        <v>296</v>
      </c>
      <c r="U14" s="87" t="str">
        <f>HYPERLINK("https://www.biblegateway.com/passage/?search=Gen 12:1-8", "Gen 12:1-8")</f>
        <v>Gen 12:1-8</v>
      </c>
      <c r="V14" s="77" t="str">
        <f>HYPERLINK("https://www.biblegateway.com/passage/?search=Romans 4:1-5,13-17", "Romans 4:1-5,13-17")</f>
        <v>Romans 4:1-5,13-17</v>
      </c>
      <c r="W14" s="77" t="str">
        <f>HYPERLINK("https://www.biblegateway.com/passage/?search=John 4:5-26", "John 4:5-26")</f>
        <v>John 4:5-26</v>
      </c>
      <c r="X14" s="94" t="str">
        <f>HYPERLINK("https://www.biblegateway.com/passage/?search=Psalm see notes", "see notes")</f>
        <v>see notes</v>
      </c>
      <c r="Y14" s="92" t="s">
        <v>308</v>
      </c>
      <c r="Z14" s="34"/>
      <c r="AA14" s="75" t="s">
        <v>152</v>
      </c>
      <c r="AB14" s="88" t="s">
        <v>60</v>
      </c>
    </row>
    <row r="15" spans="1:28">
      <c r="A15" s="16">
        <f t="shared" si="0"/>
        <v>3</v>
      </c>
      <c r="B15" s="91">
        <f>B14+3</f>
        <v>42809</v>
      </c>
      <c r="C15" s="85" t="s">
        <v>211</v>
      </c>
      <c r="D15" s="70" t="s">
        <v>40</v>
      </c>
      <c r="E15" s="70" t="s">
        <v>40</v>
      </c>
      <c r="F15" s="70" t="s">
        <v>64</v>
      </c>
      <c r="G15" s="71"/>
      <c r="H15" s="71"/>
      <c r="I15" s="69"/>
      <c r="J15" s="69"/>
      <c r="K15" s="69"/>
      <c r="L15" s="74" t="str">
        <f>HYPERLINK("https://drive.google.com/drive/u/0/folders/0B4o9FS6Fg-3eR1U2Vkpuem81UFE","Service Notes")</f>
        <v>Service Notes</v>
      </c>
      <c r="M15" s="69"/>
      <c r="N15" s="70" t="s">
        <v>261</v>
      </c>
      <c r="O15" s="69"/>
      <c r="P15" s="69"/>
      <c r="Q15" s="69"/>
      <c r="R15" s="69"/>
      <c r="S15" s="87" t="str">
        <f>HYPERLINK("https://www.biblegateway.com/passage/?search=Mark 14:32-38", "Mark 14:32-38")</f>
        <v>Mark 14:32-38</v>
      </c>
      <c r="T15" s="70" t="s">
        <v>310</v>
      </c>
      <c r="U15" s="77" t="str">
        <f>HYPERLINK("https://www.biblegateway.com/passage/?search=Passion History Part 2", "Passion History Part 2")</f>
        <v>Passion History Part 2</v>
      </c>
      <c r="V15" s="69"/>
      <c r="W15" s="69"/>
      <c r="X15" s="71"/>
      <c r="Y15" s="75" t="s">
        <v>318</v>
      </c>
      <c r="Z15" s="34"/>
      <c r="AA15" s="75" t="s">
        <v>319</v>
      </c>
      <c r="AB15" s="88" t="s">
        <v>40</v>
      </c>
    </row>
    <row r="16" spans="1:28">
      <c r="A16" s="16">
        <f t="shared" si="0"/>
        <v>3</v>
      </c>
      <c r="B16" s="68">
        <f>B14+7</f>
        <v>42813</v>
      </c>
      <c r="C16" s="85" t="s">
        <v>220</v>
      </c>
      <c r="D16" s="70" t="s">
        <v>43</v>
      </c>
      <c r="E16" s="70" t="s">
        <v>40</v>
      </c>
      <c r="F16" s="70" t="s">
        <v>44</v>
      </c>
      <c r="G16" s="71"/>
      <c r="H16" s="71" t="str">
        <f>IF(OR(A16=2,A16=4,A16=5),"X","")</f>
        <v/>
      </c>
      <c r="I16" s="70" t="s">
        <v>46</v>
      </c>
      <c r="J16" s="62" t="s">
        <v>141</v>
      </c>
      <c r="K16" s="69"/>
      <c r="L16" s="74" t="str">
        <f>HYPERLINK("https://drive.google.com/drive/u/0/folders/0B4o9FS6Fg-3eWXlwcEl3eWhYR2c","Service Notes")</f>
        <v>Service Notes</v>
      </c>
      <c r="M16" s="69"/>
      <c r="N16" s="70" t="s">
        <v>91</v>
      </c>
      <c r="O16" s="69"/>
      <c r="P16" s="69"/>
      <c r="Q16" s="70" t="s">
        <v>224</v>
      </c>
      <c r="R16" s="69"/>
      <c r="S16" s="77" t="str">
        <f>HYPERLINK("https://www.biblegateway.com/passage/?search=Isaiah 42:14-21", "Isaiah 42:14-21")</f>
        <v>Isaiah 42:14-21</v>
      </c>
      <c r="T16" s="70" t="s">
        <v>325</v>
      </c>
      <c r="U16" s="77" t="str">
        <f>HYPERLINK("https://www.biblegateway.com/passage/?search=Isaiah 42:14-21", "Isaiah 42:14-21")</f>
        <v>Isaiah 42:14-21</v>
      </c>
      <c r="V16" s="87" t="str">
        <f>HYPERLINK("https://www.biblegateway.com/passage/?search=Ephesians 5:8-14", "Ephesians 5:8-14")</f>
        <v>Ephesians 5:8-14</v>
      </c>
      <c r="W16" s="87" t="str">
        <f>HYPERLINK("https://www.biblegateway.com/passage/?search=John 9:1-7,13-17,34-39", "John 9:1-7,13-17,34-39")</f>
        <v>John 9:1-7,13-17,34-39</v>
      </c>
      <c r="X16" s="83" t="str">
        <f>HYPERLINK("https://www.biblegateway.com/passage/?search=Psalm 143", "143")</f>
        <v>143</v>
      </c>
      <c r="Y16" s="101" t="s">
        <v>332</v>
      </c>
      <c r="Z16" s="34"/>
      <c r="AA16" s="73"/>
      <c r="AB16" s="88" t="s">
        <v>336</v>
      </c>
    </row>
    <row r="17" spans="1:28">
      <c r="A17" s="16">
        <f t="shared" si="0"/>
        <v>4</v>
      </c>
      <c r="B17" s="91">
        <f>B16+3</f>
        <v>42816</v>
      </c>
      <c r="C17" s="85" t="s">
        <v>232</v>
      </c>
      <c r="D17" s="70" t="s">
        <v>43</v>
      </c>
      <c r="E17" s="70" t="s">
        <v>43</v>
      </c>
      <c r="F17" s="70" t="s">
        <v>44</v>
      </c>
      <c r="G17" s="71"/>
      <c r="H17" s="71"/>
      <c r="I17" s="69"/>
      <c r="J17" s="69"/>
      <c r="K17" s="69"/>
      <c r="L17" s="74" t="str">
        <f>HYPERLINK("https://drive.google.com/drive/u/0/folders/0B4o9FS6Fg-3eY2xpQW43elpQV0k","Service Notes")</f>
        <v>Service Notes</v>
      </c>
      <c r="M17" s="69"/>
      <c r="N17" s="70" t="s">
        <v>261</v>
      </c>
      <c r="O17" s="69"/>
      <c r="P17" s="69"/>
      <c r="Q17" s="69"/>
      <c r="R17" s="69"/>
      <c r="S17" s="87" t="str">
        <f>HYPERLINK("https://www.biblegateway.com/passage/?search=Matthew 27:1-5", "Matthew 27:1-5")</f>
        <v>Matthew 27:1-5</v>
      </c>
      <c r="T17" s="70" t="s">
        <v>342</v>
      </c>
      <c r="U17" s="77" t="str">
        <f>HYPERLINK("https://www.biblegateway.com/passage/?search=Passion History Part 3", "Passion History Part 3")</f>
        <v>Passion History Part 3</v>
      </c>
      <c r="V17" s="69"/>
      <c r="W17" s="69"/>
      <c r="X17" s="94"/>
      <c r="Y17" s="75" t="s">
        <v>344</v>
      </c>
      <c r="Z17" s="34"/>
      <c r="AA17" s="75" t="s">
        <v>345</v>
      </c>
      <c r="AB17" s="88" t="s">
        <v>40</v>
      </c>
    </row>
    <row r="18" spans="1:28">
      <c r="A18" s="16">
        <f t="shared" si="0"/>
        <v>4</v>
      </c>
      <c r="B18" s="68">
        <f>B16+7</f>
        <v>42820</v>
      </c>
      <c r="C18" s="85" t="s">
        <v>238</v>
      </c>
      <c r="D18" s="70" t="s">
        <v>40</v>
      </c>
      <c r="E18" s="70" t="s">
        <v>46</v>
      </c>
      <c r="F18" s="70" t="s">
        <v>347</v>
      </c>
      <c r="G18" s="71"/>
      <c r="H18" s="71" t="str">
        <f>IF(OR(A18=2,A18=4,A18=5),"X","")</f>
        <v>X</v>
      </c>
      <c r="I18" s="70" t="s">
        <v>351</v>
      </c>
      <c r="J18" s="103" t="s">
        <v>352</v>
      </c>
      <c r="K18" s="69"/>
      <c r="L18" s="74" t="str">
        <f>HYPERLINK("https://drive.google.com/drive/u/0/folders/0B4o9FS6Fg-3ebk1kN1IwTVljdVE","Service Notes")</f>
        <v>Service Notes</v>
      </c>
      <c r="M18" s="69"/>
      <c r="N18" s="70" t="s">
        <v>105</v>
      </c>
      <c r="O18" s="69"/>
      <c r="P18" s="69"/>
      <c r="Q18" s="70" t="s">
        <v>243</v>
      </c>
      <c r="R18" s="69"/>
      <c r="S18" s="77" t="str">
        <f>HYPERLINK("https://www.biblegateway.com/passage/?search=Romans 8:1-10", "Romans 8:1-10")</f>
        <v>Romans 8:1-10</v>
      </c>
      <c r="T18" s="70" t="s">
        <v>362</v>
      </c>
      <c r="U18" s="77" t="str">
        <f>HYPERLINK("https://www.biblegateway.com/passage/?search=Hosea 5:15-6:3", "Hosea 5:15-6:3")</f>
        <v>Hosea 5:15-6:3</v>
      </c>
      <c r="V18" s="77" t="str">
        <f>HYPERLINK("https://www.biblegateway.com/passage/?search=Romans 8:1-10", "Romans 8:1-10")</f>
        <v>Romans 8:1-10</v>
      </c>
      <c r="W18" s="77" t="str">
        <f>HYPERLINK("https://www.biblegateway.com/passage/?search=Matthew 20:17-28", "Matthew 20:17-28")</f>
        <v>Matthew 20:17-28</v>
      </c>
      <c r="X18" s="94" t="str">
        <f>HYPERLINK("https://www.biblegateway.com/passage/?search=Psalm 42-43", "42-43")</f>
        <v>42-43</v>
      </c>
      <c r="Y18" s="90" t="s">
        <v>370</v>
      </c>
      <c r="Z18" s="34"/>
      <c r="AA18" s="75" t="s">
        <v>371</v>
      </c>
      <c r="AB18" s="88" t="s">
        <v>336</v>
      </c>
    </row>
    <row r="19" spans="1:28">
      <c r="A19" s="16">
        <f t="shared" si="0"/>
        <v>5</v>
      </c>
      <c r="B19" s="91">
        <f>B18+3</f>
        <v>42823</v>
      </c>
      <c r="C19" s="85" t="s">
        <v>250</v>
      </c>
      <c r="D19" s="70" t="s">
        <v>373</v>
      </c>
      <c r="E19" s="70" t="s">
        <v>374</v>
      </c>
      <c r="F19" s="70" t="s">
        <v>44</v>
      </c>
      <c r="G19" s="78"/>
      <c r="H19" s="78"/>
      <c r="I19" s="69"/>
      <c r="J19" s="69"/>
      <c r="K19" s="69"/>
      <c r="L19" s="74" t="str">
        <f>HYPERLINK("https://drive.google.com/drive/folders/0B4o9FS6Fg-3eOFBKQi1HdmFkSzg","Service Notes")</f>
        <v>Service Notes</v>
      </c>
      <c r="M19" s="69"/>
      <c r="N19" s="70" t="s">
        <v>261</v>
      </c>
      <c r="O19" s="69"/>
      <c r="P19" s="69"/>
      <c r="Q19" s="69"/>
      <c r="R19" s="69"/>
      <c r="S19" s="87" t="str">
        <f>HYPERLINK("https://www.biblegateway.com/passage/?search=Luke 23:35-43", "Luke 23:35-43")</f>
        <v>Luke 23:35-43</v>
      </c>
      <c r="T19" s="70" t="s">
        <v>379</v>
      </c>
      <c r="U19" s="77" t="str">
        <f>HYPERLINK("https://www.biblegateway.com/passage/?search=Passion History Part 4", "Passion History Part 4")</f>
        <v>Passion History Part 4</v>
      </c>
      <c r="V19" s="69"/>
      <c r="W19" s="69"/>
      <c r="X19" s="94" t="str">
        <f>HYPERLINK("https://www.biblegateway.com/passage/?search=Psalm 121", "121")</f>
        <v>121</v>
      </c>
      <c r="Y19" s="75" t="s">
        <v>384</v>
      </c>
      <c r="Z19" s="34"/>
      <c r="AA19" s="75" t="s">
        <v>385</v>
      </c>
      <c r="AB19" s="88" t="s">
        <v>40</v>
      </c>
    </row>
    <row r="20" spans="1:28">
      <c r="A20" s="16">
        <f t="shared" si="0"/>
        <v>1</v>
      </c>
      <c r="B20" s="68">
        <f>B18+7</f>
        <v>42827</v>
      </c>
      <c r="C20" s="85" t="s">
        <v>262</v>
      </c>
      <c r="D20" s="70" t="s">
        <v>43</v>
      </c>
      <c r="E20" s="70" t="s">
        <v>46</v>
      </c>
      <c r="F20" s="70" t="s">
        <v>44</v>
      </c>
      <c r="G20" s="78"/>
      <c r="H20" s="78" t="str">
        <f>IF(OR(A20=2,A20=4,A20=5),"X","")</f>
        <v/>
      </c>
      <c r="I20" s="70" t="s">
        <v>351</v>
      </c>
      <c r="J20" s="103" t="s">
        <v>352</v>
      </c>
      <c r="K20" s="70"/>
      <c r="L20" s="74" t="str">
        <f>HYPERLINK("https://drive.google.com/drive/folders/0B4o9FS6Fg-3eUy1jMXY3LXFhMlU","Service Notes")</f>
        <v>Service Notes</v>
      </c>
      <c r="M20" s="69"/>
      <c r="N20" s="70" t="s">
        <v>126</v>
      </c>
      <c r="O20" s="69"/>
      <c r="P20" s="69"/>
      <c r="Q20" s="70" t="s">
        <v>269</v>
      </c>
      <c r="R20" s="69"/>
      <c r="S20" s="77" t="str">
        <f>HYPERLINK("https://www.biblegateway.com/passage/?search=John 11:17-27, 38-45", "John 11:17-27, 38-45")</f>
        <v>John 11:17-27, 38-45</v>
      </c>
      <c r="T20" s="70" t="s">
        <v>395</v>
      </c>
      <c r="U20" s="77" t="str">
        <f>HYPERLINK("https://www.biblegateway.com/passage/?search=Ezekiel 37:1-14", "Ezekiel 37:1-14")</f>
        <v>Ezekiel 37:1-14</v>
      </c>
      <c r="V20" s="77" t="str">
        <f>HYPERLINK("https://www.biblegateway.com/passage/?search=Romans 8:11-19", "Romans 8:11-19")</f>
        <v>Romans 8:11-19</v>
      </c>
      <c r="W20" s="77" t="str">
        <f>HYPERLINK("https://www.biblegateway.com/passage/?search=John 11:17-27,38-45", "John 11:17-27,38-45")</f>
        <v>John 11:17-27,38-45</v>
      </c>
      <c r="X20" s="94" t="str">
        <f>HYPERLINK("https://www.biblegateway.com/passage/?search=Psalm see service notes", "see service notes")</f>
        <v>see service notes</v>
      </c>
      <c r="Y20" s="109" t="s">
        <v>400</v>
      </c>
      <c r="Z20" s="34"/>
      <c r="AA20" s="73"/>
      <c r="AB20" s="88" t="s">
        <v>336</v>
      </c>
    </row>
    <row r="21" spans="1:28">
      <c r="A21" s="16">
        <f t="shared" si="0"/>
        <v>2</v>
      </c>
      <c r="B21" s="91">
        <f>B20+3</f>
        <v>42830</v>
      </c>
      <c r="C21" s="85" t="s">
        <v>275</v>
      </c>
      <c r="D21" s="70" t="s">
        <v>63</v>
      </c>
      <c r="E21" s="70" t="s">
        <v>63</v>
      </c>
      <c r="F21" s="70" t="s">
        <v>44</v>
      </c>
      <c r="G21" s="71"/>
      <c r="H21" s="71"/>
      <c r="I21" s="69"/>
      <c r="J21" s="69"/>
      <c r="K21" s="70"/>
      <c r="L21" s="74" t="str">
        <f>HYPERLINK("https://drive.google.com/drive/folders/0B4o9FS6Fg-3eV2k5R1RMeTBjdDg","Service Notes")</f>
        <v>Service Notes</v>
      </c>
      <c r="M21" s="69"/>
      <c r="N21" s="70" t="s">
        <v>261</v>
      </c>
      <c r="O21" s="69"/>
      <c r="P21" s="69"/>
      <c r="Q21" s="69"/>
      <c r="R21" s="69"/>
      <c r="S21" s="77" t="str">
        <f>HYPERLINK("https://www.biblegateway.com/passage/?search=Luke 23:32-34", "Luke 23:32-34")</f>
        <v>Luke 23:32-34</v>
      </c>
      <c r="T21" s="70" t="s">
        <v>410</v>
      </c>
      <c r="U21" s="77" t="str">
        <f>HYPERLINK("https://www.biblegateway.com/passage/?search=Passion History Part 5", "Passion History Part 5")</f>
        <v>Passion History Part 5</v>
      </c>
      <c r="V21" s="69"/>
      <c r="W21" s="69"/>
      <c r="X21" s="71"/>
      <c r="Y21" s="75" t="s">
        <v>414</v>
      </c>
      <c r="Z21" s="34"/>
      <c r="AA21" s="75" t="s">
        <v>415</v>
      </c>
      <c r="AB21" s="88" t="s">
        <v>40</v>
      </c>
    </row>
    <row r="22" spans="1:28">
      <c r="A22" s="16">
        <f t="shared" si="0"/>
        <v>2</v>
      </c>
      <c r="B22" s="68">
        <f>B20+7</f>
        <v>42834</v>
      </c>
      <c r="C22" s="85" t="s">
        <v>284</v>
      </c>
      <c r="D22" s="70" t="s">
        <v>63</v>
      </c>
      <c r="E22" s="70" t="s">
        <v>46</v>
      </c>
      <c r="F22" s="70" t="s">
        <v>417</v>
      </c>
      <c r="G22" s="71"/>
      <c r="H22" s="71" t="str">
        <f>IF(OR(A22=2,A22=4,A22=5),"X","")</f>
        <v>X</v>
      </c>
      <c r="I22" s="70" t="s">
        <v>43</v>
      </c>
      <c r="J22" s="103" t="s">
        <v>352</v>
      </c>
      <c r="K22" s="69"/>
      <c r="L22" s="74" t="str">
        <f>HYPERLINK("https://drive.google.com/drive/folders/0B4o9FS6Fg-3eVW84QlFZZVVpRFE","Service Notes")</f>
        <v>Service Notes</v>
      </c>
      <c r="M22" s="69"/>
      <c r="N22" s="70" t="s">
        <v>422</v>
      </c>
      <c r="O22" s="69"/>
      <c r="P22" s="69"/>
      <c r="Q22" s="70" t="s">
        <v>288</v>
      </c>
      <c r="R22" s="69"/>
      <c r="S22" s="77" t="str">
        <f>HYPERLINK("https://www.biblegateway.com/passage/?search=Zechariah 9:9-10", "Zechariah 9:9-10")</f>
        <v>Zechariah 9:9-10</v>
      </c>
      <c r="T22" s="70" t="s">
        <v>425</v>
      </c>
      <c r="U22" s="87" t="str">
        <f>HYPERLINK("https://www.biblegateway.com/passage/?search=Zechariah 9:9,10", "Zechariah 9:9,10")</f>
        <v>Zechariah 9:9,10</v>
      </c>
      <c r="V22" s="77" t="str">
        <f>HYPERLINK("https://www.biblegateway.com/passage/?search=Philippians 2:5-11", "Philippians 2:5-11")</f>
        <v>Philippians 2:5-11</v>
      </c>
      <c r="W22" s="77" t="str">
        <f>HYPERLINK("https://www.biblegateway.com/passage/?search=Matthew 21:1-11", "Matthew 21:1-11")</f>
        <v>Matthew 21:1-11</v>
      </c>
      <c r="X22" s="94" t="str">
        <f>HYPERLINK("https://www.biblegateway.com/passage/?search=Psalm see notes", "see notes")</f>
        <v>see notes</v>
      </c>
      <c r="Y22" s="75" t="s">
        <v>426</v>
      </c>
      <c r="Z22" s="34"/>
      <c r="AA22" s="75" t="s">
        <v>305</v>
      </c>
      <c r="AB22" s="88" t="s">
        <v>60</v>
      </c>
    </row>
    <row r="23" spans="1:28">
      <c r="A23" s="16">
        <f t="shared" si="0"/>
        <v>3</v>
      </c>
      <c r="B23" s="91">
        <f>B22+4</f>
        <v>42838</v>
      </c>
      <c r="C23" s="85" t="s">
        <v>297</v>
      </c>
      <c r="D23" s="70" t="s">
        <v>40</v>
      </c>
      <c r="E23" s="70" t="s">
        <v>43</v>
      </c>
      <c r="F23" s="70" t="s">
        <v>64</v>
      </c>
      <c r="G23" s="71"/>
      <c r="H23" s="71" t="s">
        <v>167</v>
      </c>
      <c r="I23" s="69"/>
      <c r="J23" s="69"/>
      <c r="K23" s="69"/>
      <c r="L23" s="74" t="str">
        <f>HYPERLINK("https://docs.google.com/document/d/1u_pr2hL13R7GTYpFnWgfDmOLRjfr-htggPFA7wpzXb0/edit#","Service Notes")</f>
        <v>Service Notes</v>
      </c>
      <c r="M23" s="69"/>
      <c r="N23" s="70" t="s">
        <v>430</v>
      </c>
      <c r="O23" s="69"/>
      <c r="P23" s="69"/>
      <c r="Q23" s="70" t="s">
        <v>413</v>
      </c>
      <c r="R23" s="69"/>
      <c r="S23" s="87" t="str">
        <f>HYPERLINK("https://www.biblegateway.com/passage/?search=1 Cor 11:23-28", "1 Cor 11:23-28")</f>
        <v>1 Cor 11:23-28</v>
      </c>
      <c r="T23" s="70" t="s">
        <v>431</v>
      </c>
      <c r="U23" s="77" t="str">
        <f>HYPERLINK("https://www.biblegateway.com/passage/?search=Exodus 12:1-14", "Exodus 12:1-14")</f>
        <v>Exodus 12:1-14</v>
      </c>
      <c r="V23" s="77" t="str">
        <f>HYPERLINK("https://www.biblegateway.com/passage/?search=1 Cor 11:23-28", "1 Cor 11:23-28")</f>
        <v>1 Cor 11:23-28</v>
      </c>
      <c r="W23" s="77" t="str">
        <f>HYPERLINK("https://www.biblegateway.com/passage/?search=John 13:1-15,34", "John 13:1-15,34")</f>
        <v>John 13:1-15,34</v>
      </c>
      <c r="X23" s="83" t="str">
        <f>HYPERLINK("https://www.biblegateway.com/passage/?search=Psalm 116", "116")</f>
        <v>116</v>
      </c>
      <c r="Y23" s="75" t="s">
        <v>436</v>
      </c>
      <c r="Z23" s="34"/>
      <c r="AA23" s="75" t="s">
        <v>324</v>
      </c>
      <c r="AB23" s="88" t="s">
        <v>40</v>
      </c>
    </row>
    <row r="24" spans="1:28">
      <c r="A24" s="16">
        <f t="shared" si="0"/>
        <v>3</v>
      </c>
      <c r="B24" s="126">
        <f>B23+1</f>
        <v>42839</v>
      </c>
      <c r="C24" s="127" t="s">
        <v>423</v>
      </c>
      <c r="D24" s="128" t="s">
        <v>46</v>
      </c>
      <c r="E24" s="128" t="s">
        <v>40</v>
      </c>
      <c r="F24" s="128" t="s">
        <v>44</v>
      </c>
      <c r="G24" s="129"/>
      <c r="H24" s="129" t="s">
        <v>167</v>
      </c>
      <c r="I24" s="130"/>
      <c r="J24" s="130"/>
      <c r="K24" s="130"/>
      <c r="L24" s="132" t="str">
        <f>HYPERLINK("https://drive.google.com/drive/folders/0B4o9FS6Fg-3eUjVaaDJGeXFSRTg","Service Notes")</f>
        <v>Service Notes</v>
      </c>
      <c r="M24" s="130"/>
      <c r="N24" s="128" t="s">
        <v>446</v>
      </c>
      <c r="O24" s="130"/>
      <c r="P24" s="130"/>
      <c r="Q24" s="128" t="s">
        <v>429</v>
      </c>
      <c r="R24" s="130"/>
      <c r="S24" s="133" t="str">
        <f>HYPERLINK("https://www.biblegateway.com/passage/?search=John 19:28-30", "John 19:28-30")</f>
        <v>John 19:28-30</v>
      </c>
      <c r="T24" s="128" t="s">
        <v>448</v>
      </c>
      <c r="U24" s="134" t="str">
        <f>HYPERLINK("https://www.biblegateway.com/passage/?search=Passion History - Crucifixion and death", "Passion History - Crucifixion and death")</f>
        <v>Passion History - Crucifixion and death</v>
      </c>
      <c r="V24" s="133" t="str">
        <f t="shared" ref="V24:W24" si="3">HYPERLINK("https://www.biblegateway.com/passage/?search=", "")</f>
        <v/>
      </c>
      <c r="W24" s="133" t="str">
        <f t="shared" si="3"/>
        <v/>
      </c>
      <c r="X24" s="136" t="str">
        <f t="shared" ref="X24:X25" si="4">HYPERLINK("https://www.biblegateway.com/passage/?search=Psalm 22", "22")</f>
        <v>22</v>
      </c>
      <c r="Y24" s="137" t="s">
        <v>457</v>
      </c>
      <c r="Z24" s="34"/>
      <c r="AA24" s="137"/>
      <c r="AB24" s="138" t="s">
        <v>40</v>
      </c>
    </row>
    <row r="25" spans="1:28">
      <c r="A25" s="16"/>
      <c r="B25" s="140" t="s">
        <v>459</v>
      </c>
      <c r="C25" s="127" t="s">
        <v>423</v>
      </c>
      <c r="D25" s="128" t="s">
        <v>46</v>
      </c>
      <c r="E25" s="128" t="s">
        <v>46</v>
      </c>
      <c r="F25" s="128" t="s">
        <v>44</v>
      </c>
      <c r="G25" s="129"/>
      <c r="H25" s="129"/>
      <c r="I25" s="130"/>
      <c r="J25" s="130"/>
      <c r="K25" s="130"/>
      <c r="L25" s="132" t="str">
        <f>HYPERLINK("https://drive.google.com/drive/folders/0B4o9FS6Fg-3eN2Fma1UwSjN2ZTg","Service Notes")</f>
        <v>Service Notes</v>
      </c>
      <c r="M25" s="130"/>
      <c r="N25" s="128" t="s">
        <v>462</v>
      </c>
      <c r="O25" s="130"/>
      <c r="P25" s="130"/>
      <c r="Q25" s="130"/>
      <c r="R25" s="130"/>
      <c r="S25" s="133" t="str">
        <f>HYPERLINK("https://www.biblegateway.com/passage/?search=John 19:30", "John 19:30")</f>
        <v>John 19:30</v>
      </c>
      <c r="T25" s="128" t="s">
        <v>448</v>
      </c>
      <c r="U25" s="134" t="str">
        <f t="shared" ref="U25:W25" si="5">HYPERLINK("https://www.biblegateway.com/passage/?search=", "")</f>
        <v/>
      </c>
      <c r="V25" s="133" t="str">
        <f t="shared" si="5"/>
        <v/>
      </c>
      <c r="W25" s="133" t="str">
        <f t="shared" si="5"/>
        <v/>
      </c>
      <c r="X25" s="136" t="str">
        <f t="shared" si="4"/>
        <v>22</v>
      </c>
      <c r="Y25" s="137" t="s">
        <v>466</v>
      </c>
      <c r="Z25" s="34"/>
      <c r="AA25" s="137" t="s">
        <v>152</v>
      </c>
      <c r="AB25" s="138" t="s">
        <v>40</v>
      </c>
    </row>
    <row r="26" spans="1:28">
      <c r="A26" s="16">
        <f t="shared" ref="A26:A33" si="6">WEEKNUM(B26,2)-WEEKNUM(DATE(YEAR(B26),MONTH(B26),1),2)+1</f>
        <v>3</v>
      </c>
      <c r="B26" s="17">
        <f>B24+2</f>
        <v>42841</v>
      </c>
      <c r="C26" s="21" t="s">
        <v>469</v>
      </c>
      <c r="D26" s="20" t="s">
        <v>43</v>
      </c>
      <c r="E26" s="20" t="s">
        <v>43</v>
      </c>
      <c r="F26" s="20" t="s">
        <v>64</v>
      </c>
      <c r="G26" s="23"/>
      <c r="H26" s="23" t="str">
        <f t="shared" ref="H26:H31" si="7">IF(OR(A26=2,A26=4,A26=5),"X","")</f>
        <v/>
      </c>
      <c r="I26" s="25"/>
      <c r="J26" s="25"/>
      <c r="K26" s="25"/>
      <c r="L26" s="28" t="str">
        <f>HYPERLINK("https://drive.google.com/drive/folders/0B4o9FS6Fg-3eYmh3VkM3ZGFXMU0","Service Notes")</f>
        <v>Service Notes</v>
      </c>
      <c r="M26" s="25"/>
      <c r="N26" s="25"/>
      <c r="O26" s="25"/>
      <c r="P26" s="25"/>
      <c r="Q26" s="20" t="s">
        <v>472</v>
      </c>
      <c r="R26" s="25"/>
      <c r="S26" s="31" t="str">
        <f>HYPERLINK("https://www.biblegateway.com/passage/?search=John 20:1-18", "John 20:1-18")</f>
        <v>John 20:1-18</v>
      </c>
      <c r="T26" s="20" t="s">
        <v>475</v>
      </c>
      <c r="U26" s="31" t="str">
        <f>HYPERLINK("https://www.biblegateway.com/passage/?search=Isaiah 12:1-6", "Isaiah 12:1-6")</f>
        <v>Isaiah 12:1-6</v>
      </c>
      <c r="V26" s="143" t="str">
        <f>HYPERLINK("https://www.biblegateway.com/passage/?search=Colossians 3:1-4", "Colossians 3:1-4")</f>
        <v>Colossians 3:1-4</v>
      </c>
      <c r="W26" s="31" t="str">
        <f>HYPERLINK("https://www.biblegateway.com/passage/?search=John 20:1-18", "John 20:1-18")</f>
        <v>John 20:1-18</v>
      </c>
      <c r="X26" s="32" t="str">
        <f>HYPERLINK("https://www.biblegateway.com/passage/?search=Psalm 30", "30")</f>
        <v>30</v>
      </c>
      <c r="Y26" s="144" t="s">
        <v>482</v>
      </c>
      <c r="Z26" s="34"/>
      <c r="AA26" s="26"/>
      <c r="AB26" s="35" t="s">
        <v>485</v>
      </c>
    </row>
    <row r="27" spans="1:28">
      <c r="A27" s="16">
        <f t="shared" si="6"/>
        <v>3</v>
      </c>
      <c r="B27" s="37">
        <f>B26</f>
        <v>42841</v>
      </c>
      <c r="C27" s="21" t="s">
        <v>334</v>
      </c>
      <c r="D27" s="20" t="s">
        <v>40</v>
      </c>
      <c r="E27" s="20" t="s">
        <v>40</v>
      </c>
      <c r="F27" s="20" t="s">
        <v>44</v>
      </c>
      <c r="G27" s="23"/>
      <c r="H27" s="23" t="str">
        <f t="shared" si="7"/>
        <v/>
      </c>
      <c r="I27" s="145" t="s">
        <v>489</v>
      </c>
      <c r="J27" s="145" t="s">
        <v>489</v>
      </c>
      <c r="K27" s="25"/>
      <c r="L27" s="28" t="str">
        <f>HYPERLINK("https://drive.google.com/drive/folders/0B4o9FS6Fg-3edkNCU1l4NkZ4bXc","Service Notes")</f>
        <v>Service Notes</v>
      </c>
      <c r="M27" s="25"/>
      <c r="N27" s="25"/>
      <c r="O27" s="25"/>
      <c r="P27" s="25"/>
      <c r="Q27" s="20" t="s">
        <v>338</v>
      </c>
      <c r="R27" s="25"/>
      <c r="S27" s="31" t="str">
        <f>HYPERLINK("https://www.biblegateway.com/passage/?search=1 Cor 15:51-57", "1 Cor 15:51-57")</f>
        <v>1 Cor 15:51-57</v>
      </c>
      <c r="T27" s="20" t="s">
        <v>495</v>
      </c>
      <c r="U27" s="81" t="str">
        <f>HYPERLINK("https://www.biblegateway.com/passage/?search=Jonah 2:2-9", "Jonah 2:2-9")</f>
        <v>Jonah 2:2-9</v>
      </c>
      <c r="V27" s="31" t="str">
        <f>HYPERLINK("https://www.biblegateway.com/passage/?search=1 Cor 15:51-57", "1 Cor 15:51-57")</f>
        <v>1 Cor 15:51-57</v>
      </c>
      <c r="W27" s="81" t="str">
        <f>HYPERLINK("https://www.biblegateway.com/passage/?search=Matthew 28:1-10", "Matthew 28:1-10")</f>
        <v>Matthew 28:1-10</v>
      </c>
      <c r="X27" s="32" t="str">
        <f>HYPERLINK("https://www.biblegateway.com/passage/?search=Psalm 118", "118")</f>
        <v>118</v>
      </c>
      <c r="Y27" s="33" t="s">
        <v>503</v>
      </c>
      <c r="Z27" s="34"/>
      <c r="AA27" s="26"/>
      <c r="AB27" s="35" t="s">
        <v>504</v>
      </c>
    </row>
    <row r="28" spans="1:28">
      <c r="A28" s="16">
        <f t="shared" si="6"/>
        <v>4</v>
      </c>
      <c r="B28" s="37">
        <f t="shared" ref="B28:B32" si="8">B27+7</f>
        <v>42848</v>
      </c>
      <c r="C28" s="21" t="s">
        <v>343</v>
      </c>
      <c r="D28" s="20" t="s">
        <v>46</v>
      </c>
      <c r="E28" s="20" t="s">
        <v>43</v>
      </c>
      <c r="F28" s="20" t="s">
        <v>347</v>
      </c>
      <c r="G28" s="22"/>
      <c r="H28" s="22" t="str">
        <f t="shared" si="7"/>
        <v>X</v>
      </c>
      <c r="I28" s="20" t="s">
        <v>361</v>
      </c>
      <c r="J28" s="147" t="s">
        <v>509</v>
      </c>
      <c r="K28" s="20"/>
      <c r="L28" s="28" t="str">
        <f>HYPERLINK("https://drive.google.com/drive/folders/0B4o9FS6Fg-3eRnU1bFBiSzBJMnM","Service Notes")</f>
        <v>Service Notes</v>
      </c>
      <c r="M28" s="25"/>
      <c r="N28" s="20" t="s">
        <v>514</v>
      </c>
      <c r="O28" s="25"/>
      <c r="P28" s="25"/>
      <c r="Q28" s="20" t="s">
        <v>467</v>
      </c>
      <c r="R28" s="25"/>
      <c r="S28" s="31" t="str">
        <f>HYPERLINK("https://www.biblegateway.com/passage/?search=1 Peter 1:3-9", "1 Peter 1:3-9")</f>
        <v>1 Peter 1:3-9</v>
      </c>
      <c r="T28" s="5" t="s">
        <v>519</v>
      </c>
      <c r="U28" s="31" t="str">
        <f>HYPERLINK("https://www.biblegateway.com/passage/?search=Acts 2:14a,22-32", "Acts 2:14a,22-32")</f>
        <v>Acts 2:14a,22-32</v>
      </c>
      <c r="V28" s="31" t="str">
        <f>HYPERLINK("https://www.biblegateway.com/passage/?search=1 Peter 1:3-9", "1 Peter 1:3-9")</f>
        <v>1 Peter 1:3-9</v>
      </c>
      <c r="W28" s="31" t="str">
        <f>HYPERLINK("https://www.biblegateway.com/passage/?search=John 20:19-31", "John 20:19-31")</f>
        <v>John 20:19-31</v>
      </c>
      <c r="X28" s="32" t="str">
        <f>HYPERLINK("https://www.biblegateway.com/passage/?search=Psalm 16", "16")</f>
        <v>16</v>
      </c>
      <c r="Y28" s="33" t="s">
        <v>526</v>
      </c>
      <c r="Z28" s="34"/>
      <c r="AA28" s="26"/>
      <c r="AB28" s="35" t="s">
        <v>60</v>
      </c>
    </row>
    <row r="29" spans="1:28">
      <c r="A29" s="16">
        <f t="shared" si="6"/>
        <v>5</v>
      </c>
      <c r="B29" s="37">
        <f t="shared" si="8"/>
        <v>42855</v>
      </c>
      <c r="C29" s="21" t="s">
        <v>359</v>
      </c>
      <c r="D29" s="20" t="s">
        <v>63</v>
      </c>
      <c r="E29" s="20" t="s">
        <v>46</v>
      </c>
      <c r="F29" s="20" t="s">
        <v>64</v>
      </c>
      <c r="G29" s="23"/>
      <c r="H29" s="23" t="str">
        <f t="shared" si="7"/>
        <v>X</v>
      </c>
      <c r="I29" s="27" t="s">
        <v>527</v>
      </c>
      <c r="J29" s="149" t="s">
        <v>527</v>
      </c>
      <c r="K29" s="20"/>
      <c r="L29" s="28" t="str">
        <f>HYPERLINK("https://docs.google.com/document/d/1bOkZ35WlH9BTK07jPraVfW9kBKWXC8YP24Cst1QmARs/edit#","Service Notes")</f>
        <v>Service Notes</v>
      </c>
      <c r="M29" s="25"/>
      <c r="N29" s="20" t="s">
        <v>514</v>
      </c>
      <c r="O29" s="25"/>
      <c r="P29" s="25"/>
      <c r="Q29" s="20" t="s">
        <v>479</v>
      </c>
      <c r="R29" s="25"/>
      <c r="S29" s="81" t="str">
        <f>HYPERLINK("https://www.biblegateway.com/passage/?search=1 Peter 1:17-21", "1 Peter 1:17-21")</f>
        <v>1 Peter 1:17-21</v>
      </c>
      <c r="T29" s="25"/>
      <c r="U29" s="31" t="str">
        <f>HYPERLINK("https://www.biblegateway.com/passage/?search=Acts 2:14a,36-47", "Acts 2:14a,36-47")</f>
        <v>Acts 2:14a,36-47</v>
      </c>
      <c r="V29" s="31" t="str">
        <f>HYPERLINK("https://www.biblegateway.com/passage/?search=1 Peter 1:17-21", "1 Peter 1:17-21")</f>
        <v>1 Peter 1:17-21</v>
      </c>
      <c r="W29" s="31" t="str">
        <f>HYPERLINK("https://www.biblegateway.com/passage/?search=Luke 24:13-35", "Luke 24:13-35")</f>
        <v>Luke 24:13-35</v>
      </c>
      <c r="X29" s="32" t="str">
        <f>HYPERLINK("https://www.biblegateway.com/passage/?search=Psalm 67", "67")</f>
        <v>67</v>
      </c>
      <c r="Y29" s="33" t="s">
        <v>544</v>
      </c>
      <c r="Z29" s="34"/>
      <c r="AA29" s="33" t="s">
        <v>546</v>
      </c>
      <c r="AB29" s="35" t="s">
        <v>60</v>
      </c>
    </row>
    <row r="30" spans="1:28">
      <c r="A30" s="16">
        <f t="shared" si="6"/>
        <v>1</v>
      </c>
      <c r="B30" s="37">
        <f t="shared" si="8"/>
        <v>42862</v>
      </c>
      <c r="C30" s="21" t="s">
        <v>369</v>
      </c>
      <c r="D30" s="20" t="s">
        <v>40</v>
      </c>
      <c r="E30" s="20" t="s">
        <v>43</v>
      </c>
      <c r="F30" s="20" t="s">
        <v>347</v>
      </c>
      <c r="G30" s="22"/>
      <c r="H30" s="22" t="str">
        <f t="shared" si="7"/>
        <v/>
      </c>
      <c r="I30" s="20" t="s">
        <v>46</v>
      </c>
      <c r="J30" s="147" t="s">
        <v>509</v>
      </c>
      <c r="K30" s="25"/>
      <c r="L30" s="28" t="str">
        <f>HYPERLINK("https://drive.google.com/drive/u/0/folders/0B4o9FS6Fg-3eZkxJdy1qWnM0VDg","Service Notes")</f>
        <v>Service Notes</v>
      </c>
      <c r="M30" s="25"/>
      <c r="N30" s="20" t="s">
        <v>549</v>
      </c>
      <c r="O30" s="25"/>
      <c r="P30" s="25"/>
      <c r="Q30" s="20" t="s">
        <v>492</v>
      </c>
      <c r="R30" s="25"/>
      <c r="S30" s="31" t="str">
        <f>HYPERLINK("https://www.biblegateway.com/passage/?search=1 Peter 2:19-25", "1 Peter 2:19-25")</f>
        <v>1 Peter 2:19-25</v>
      </c>
      <c r="T30" s="20" t="s">
        <v>552</v>
      </c>
      <c r="U30" s="31" t="str">
        <f>HYPERLINK("https://www.biblegateway.com/passage/?search=Acts 6:1-9,7:2a,51-60", "Acts 6:1-9,7:2a,51-60")</f>
        <v>Acts 6:1-9,7:2a,51-60</v>
      </c>
      <c r="V30" s="31" t="str">
        <f>HYPERLINK("https://www.biblegateway.com/passage/?search=1 Peter 2:19-25", "1 Peter 2:19-25")</f>
        <v>1 Peter 2:19-25</v>
      </c>
      <c r="W30" s="31" t="str">
        <f>HYPERLINK("https://www.biblegateway.com/passage/?search=John 10:1-10", "John 10:1-10")</f>
        <v>John 10:1-10</v>
      </c>
      <c r="X30" s="32" t="str">
        <f>HYPERLINK("https://www.biblegateway.com/passage/?search=Psalm 23", "23")</f>
        <v>23</v>
      </c>
      <c r="Y30" s="33" t="s">
        <v>554</v>
      </c>
      <c r="Z30" s="34"/>
      <c r="AA30" s="33" t="s">
        <v>555</v>
      </c>
      <c r="AB30" s="35" t="s">
        <v>60</v>
      </c>
    </row>
    <row r="31" spans="1:28">
      <c r="A31" s="16">
        <f t="shared" si="6"/>
        <v>2</v>
      </c>
      <c r="B31" s="37">
        <f t="shared" si="8"/>
        <v>42869</v>
      </c>
      <c r="C31" s="21" t="s">
        <v>382</v>
      </c>
      <c r="D31" s="20" t="s">
        <v>46</v>
      </c>
      <c r="E31" s="20" t="s">
        <v>43</v>
      </c>
      <c r="F31" s="20" t="s">
        <v>558</v>
      </c>
      <c r="G31" s="23"/>
      <c r="H31" s="23" t="str">
        <f t="shared" si="7"/>
        <v>X</v>
      </c>
      <c r="I31" s="20" t="s">
        <v>559</v>
      </c>
      <c r="J31" s="147" t="s">
        <v>509</v>
      </c>
      <c r="K31" s="20"/>
      <c r="L31" s="28" t="str">
        <f>HYPERLINK("https://drive.google.com/drive/folders/0B4o9FS6Fg-3ec1VTT2s0NEZ1aG8","Service Notes")</f>
        <v>Service Notes</v>
      </c>
      <c r="M31" s="25"/>
      <c r="N31" s="20" t="s">
        <v>562</v>
      </c>
      <c r="O31" s="25"/>
      <c r="P31" s="25"/>
      <c r="Q31" s="20" t="s">
        <v>505</v>
      </c>
      <c r="R31" s="25"/>
      <c r="S31" s="31" t="str">
        <f>HYPERLINK("https://www.biblegateway.com/passage/?search=1 Peter 2:4-10", "1 Peter 2:4-10")</f>
        <v>1 Peter 2:4-10</v>
      </c>
      <c r="T31" s="20" t="s">
        <v>564</v>
      </c>
      <c r="U31" s="31" t="str">
        <f>HYPERLINK("https://www.biblegateway.com/passage/?search=Acts 17:1-12", "Acts 17:1-12")</f>
        <v>Acts 17:1-12</v>
      </c>
      <c r="V31" s="31" t="str">
        <f>HYPERLINK("https://www.biblegateway.com/passage/?search=1 Peter 2:4-10", "1 Peter 2:4-10")</f>
        <v>1 Peter 2:4-10</v>
      </c>
      <c r="W31" s="31" t="str">
        <f>HYPERLINK("https://www.biblegateway.com/passage/?search=John 14:1-12", "John 14:1-12")</f>
        <v>John 14:1-12</v>
      </c>
      <c r="X31" s="159" t="str">
        <f>HYPERLINK("https://www.biblegateway.com/passage/?search=Psalm 118", "118")</f>
        <v>118</v>
      </c>
      <c r="Y31" s="33" t="s">
        <v>569</v>
      </c>
      <c r="Z31" s="34"/>
      <c r="AA31" s="33" t="s">
        <v>570</v>
      </c>
      <c r="AB31" s="35" t="s">
        <v>60</v>
      </c>
    </row>
    <row r="32" spans="1:28">
      <c r="A32" s="16">
        <f t="shared" si="6"/>
        <v>3</v>
      </c>
      <c r="B32" s="37">
        <f t="shared" si="8"/>
        <v>42876</v>
      </c>
      <c r="C32" s="21" t="s">
        <v>394</v>
      </c>
      <c r="D32" s="20" t="s">
        <v>46</v>
      </c>
      <c r="E32" s="20" t="s">
        <v>43</v>
      </c>
      <c r="F32" s="20" t="s">
        <v>44</v>
      </c>
      <c r="G32" s="22"/>
      <c r="H32" s="22" t="s">
        <v>572</v>
      </c>
      <c r="I32" s="145" t="s">
        <v>573</v>
      </c>
      <c r="J32" s="145" t="s">
        <v>573</v>
      </c>
      <c r="K32" s="25"/>
      <c r="L32" s="28" t="str">
        <f>HYPERLINK("https://drive.google.com/drive/folders/0B4o9FS6Fg-3eVEFyWUZ3YXRUTVU","Service Notes")</f>
        <v>Service Notes</v>
      </c>
      <c r="M32" s="25"/>
      <c r="N32" s="20" t="s">
        <v>575</v>
      </c>
      <c r="O32" s="25"/>
      <c r="P32" s="20"/>
      <c r="Q32" s="20" t="s">
        <v>577</v>
      </c>
      <c r="R32" s="25"/>
      <c r="S32" s="31" t="str">
        <f t="shared" ref="S32:S33" si="9">HYPERLINK("https://www.biblegateway.com/passage/?search=1 Peter 3:15-22", "1 Peter 3:15-22")</f>
        <v>1 Peter 3:15-22</v>
      </c>
      <c r="T32" s="20" t="s">
        <v>579</v>
      </c>
      <c r="U32" s="31" t="str">
        <f t="shared" ref="U32:U33" si="10">HYPERLINK("https://www.biblegateway.com/passage/?search=Acts 17:22-31", "Acts 17:22-31")</f>
        <v>Acts 17:22-31</v>
      </c>
      <c r="V32" s="31" t="str">
        <f t="shared" ref="V32:V33" si="11">HYPERLINK("https://www.biblegateway.com/passage/?search=1 Peter 3:15-22", "1 Peter 3:15-22")</f>
        <v>1 Peter 3:15-22</v>
      </c>
      <c r="W32" s="31" t="str">
        <f t="shared" ref="W32:W33" si="12">HYPERLINK("https://www.biblegateway.com/passage/?search=John 14:15-21", "John 14:15-21")</f>
        <v>John 14:15-21</v>
      </c>
      <c r="X32" s="159" t="s">
        <v>583</v>
      </c>
      <c r="Y32" s="33" t="s">
        <v>585</v>
      </c>
      <c r="Z32" s="34"/>
      <c r="AA32" s="33" t="s">
        <v>586</v>
      </c>
      <c r="AB32" s="35" t="s">
        <v>60</v>
      </c>
    </row>
    <row r="33" spans="1:28">
      <c r="A33" s="16">
        <f t="shared" si="6"/>
        <v>3</v>
      </c>
      <c r="B33" s="37">
        <f>B31+7</f>
        <v>42876</v>
      </c>
      <c r="C33" s="21" t="s">
        <v>588</v>
      </c>
      <c r="D33" s="20" t="s">
        <v>46</v>
      </c>
      <c r="E33" s="20" t="s">
        <v>589</v>
      </c>
      <c r="F33" s="20" t="s">
        <v>44</v>
      </c>
      <c r="G33" s="22"/>
      <c r="H33" s="22" t="str">
        <f>IF(OR(A33=2,A33=4,A33=5),"X","")</f>
        <v/>
      </c>
      <c r="I33" s="145" t="s">
        <v>573</v>
      </c>
      <c r="J33" s="145" t="s">
        <v>573</v>
      </c>
      <c r="K33" s="25"/>
      <c r="L33" s="25"/>
      <c r="M33" s="25"/>
      <c r="N33" s="25"/>
      <c r="O33" s="20"/>
      <c r="P33" s="20"/>
      <c r="Q33" s="20" t="s">
        <v>577</v>
      </c>
      <c r="R33" s="25"/>
      <c r="S33" s="31" t="str">
        <f t="shared" si="9"/>
        <v>1 Peter 3:15-22</v>
      </c>
      <c r="T33" s="25"/>
      <c r="U33" s="31" t="str">
        <f t="shared" si="10"/>
        <v>Acts 17:22-31</v>
      </c>
      <c r="V33" s="31" t="str">
        <f t="shared" si="11"/>
        <v>1 Peter 3:15-22</v>
      </c>
      <c r="W33" s="31" t="str">
        <f t="shared" si="12"/>
        <v>John 14:15-21</v>
      </c>
      <c r="X33" s="24" t="str">
        <f>HYPERLINK("https://www.biblegateway.com/passage/?search=Psalm ", "")</f>
        <v/>
      </c>
      <c r="Y33" s="33" t="s">
        <v>597</v>
      </c>
      <c r="Z33" s="34"/>
      <c r="AA33" s="33" t="s">
        <v>586</v>
      </c>
      <c r="AB33" s="35" t="s">
        <v>60</v>
      </c>
    </row>
    <row r="34" spans="1:28">
      <c r="A34" s="167"/>
      <c r="B34" s="168" t="s">
        <v>452</v>
      </c>
      <c r="C34" s="6" t="s">
        <v>3</v>
      </c>
      <c r="D34" s="7" t="s">
        <v>5</v>
      </c>
      <c r="E34" s="7" t="s">
        <v>6</v>
      </c>
      <c r="F34" s="7" t="s">
        <v>7</v>
      </c>
      <c r="G34" s="8"/>
      <c r="H34" s="8" t="s">
        <v>10</v>
      </c>
      <c r="I34" s="7" t="s">
        <v>11</v>
      </c>
      <c r="J34" s="4" t="s">
        <v>12</v>
      </c>
      <c r="K34" s="4"/>
      <c r="L34" s="7" t="s">
        <v>15</v>
      </c>
      <c r="M34" s="7" t="s">
        <v>16</v>
      </c>
      <c r="N34" s="7" t="s">
        <v>17</v>
      </c>
      <c r="O34" s="7" t="s">
        <v>18</v>
      </c>
      <c r="P34" s="7" t="s">
        <v>19</v>
      </c>
      <c r="Q34" s="7" t="s">
        <v>20</v>
      </c>
      <c r="R34" s="7" t="s">
        <v>21</v>
      </c>
      <c r="S34" s="7" t="s">
        <v>22</v>
      </c>
      <c r="T34" s="7" t="s">
        <v>23</v>
      </c>
      <c r="U34" s="7" t="s">
        <v>24</v>
      </c>
      <c r="V34" s="7" t="s">
        <v>25</v>
      </c>
      <c r="W34" s="7" t="s">
        <v>26</v>
      </c>
      <c r="X34" s="8" t="s">
        <v>30</v>
      </c>
      <c r="Y34" s="11" t="s">
        <v>456</v>
      </c>
      <c r="Z34" s="13" t="s">
        <v>32</v>
      </c>
      <c r="AA34" s="13" t="s">
        <v>34</v>
      </c>
      <c r="AB34" s="13" t="s">
        <v>36</v>
      </c>
    </row>
    <row r="35" spans="1:28">
      <c r="A35" s="16">
        <f t="shared" ref="A35:A60" si="13">WEEKNUM(B35,2)-WEEKNUM(DATE(YEAR(B35),MONTH(B35),1),2)+1</f>
        <v>4</v>
      </c>
      <c r="B35" s="37">
        <f>B32+7</f>
        <v>42883</v>
      </c>
      <c r="C35" s="21" t="s">
        <v>608</v>
      </c>
      <c r="D35" s="20" t="s">
        <v>63</v>
      </c>
      <c r="E35" s="20" t="s">
        <v>40</v>
      </c>
      <c r="F35" s="20" t="s">
        <v>347</v>
      </c>
      <c r="G35" s="23"/>
      <c r="H35" s="23" t="str">
        <f t="shared" ref="H35:H60" si="14">IF(OR(A35=2,A35=4,A35=5),"X","")</f>
        <v>X</v>
      </c>
      <c r="I35" s="170" t="s">
        <v>461</v>
      </c>
      <c r="J35" s="170" t="s">
        <v>461</v>
      </c>
      <c r="K35" s="25"/>
      <c r="L35" s="28" t="str">
        <f>HYPERLINK("https://drive.google.com/drive/u/0/folders/0B4o9FS6Fg-3eaFUxNWV5WEpxRHc","Service Notes")</f>
        <v>Service Notes</v>
      </c>
      <c r="M35" s="25"/>
      <c r="N35" s="20" t="s">
        <v>610</v>
      </c>
      <c r="O35" s="20" t="s">
        <v>611</v>
      </c>
      <c r="P35" s="25"/>
      <c r="Q35" s="20" t="s">
        <v>591</v>
      </c>
      <c r="R35" s="25"/>
      <c r="S35" s="31" t="str">
        <f>HYPERLINK("https://www.biblegateway.com/passage/?search=1 Peter 4:12-17; 5:6-11", "1 Peter 4:12-17; 5:6-11")</f>
        <v>1 Peter 4:12-17; 5:6-11</v>
      </c>
      <c r="T35" s="20" t="s">
        <v>616</v>
      </c>
      <c r="U35" s="81" t="str">
        <f>HYPERLINK("https://www.biblegateway.com/passage/?search=Acts 1:1-14", "Acts 1:1-14")</f>
        <v>Acts 1:1-14</v>
      </c>
      <c r="V35" s="31" t="str">
        <f>HYPERLINK("https://www.biblegateway.com/passage/?search=1 Peter 4:12-17;5:6-11", "1 Peter 4:12-17;5:6-11")</f>
        <v>1 Peter 4:12-17;5:6-11</v>
      </c>
      <c r="W35" s="31" t="str">
        <f>HYPERLINK("https://www.biblegateway.com/passage/?search=John 17:1-11a", "John 17:1-11a")</f>
        <v>John 17:1-11a</v>
      </c>
      <c r="X35" s="32" t="str">
        <f>HYPERLINK("https://www.biblegateway.com/passage/?search=Psalm 8", "8")</f>
        <v>8</v>
      </c>
      <c r="Y35" s="33" t="s">
        <v>622</v>
      </c>
      <c r="Z35" s="34"/>
      <c r="AA35" s="26"/>
      <c r="AB35" s="172" t="s">
        <v>60</v>
      </c>
    </row>
    <row r="36" spans="1:28">
      <c r="A36" s="16">
        <f t="shared" si="13"/>
        <v>1</v>
      </c>
      <c r="B36" s="173">
        <f t="shared" ref="B36:B60" si="15">B35+7</f>
        <v>42890</v>
      </c>
      <c r="C36" s="174" t="s">
        <v>418</v>
      </c>
      <c r="D36" s="114" t="s">
        <v>43</v>
      </c>
      <c r="E36" s="114" t="s">
        <v>43</v>
      </c>
      <c r="F36" s="114" t="s">
        <v>64</v>
      </c>
      <c r="G36" s="115"/>
      <c r="H36" s="115" t="str">
        <f t="shared" si="14"/>
        <v/>
      </c>
      <c r="I36" s="114" t="s">
        <v>46</v>
      </c>
      <c r="J36" s="175" t="s">
        <v>631</v>
      </c>
      <c r="K36" s="114"/>
      <c r="L36" s="119" t="str">
        <f>HYPERLINK("https://drive.google.com/drive/u/0/folders/0B4o9FS6Fg-3ecDhGeklHYWU3bG8","Service Notes")</f>
        <v>Service Notes</v>
      </c>
      <c r="M36" s="113"/>
      <c r="N36" s="114" t="s">
        <v>635</v>
      </c>
      <c r="O36" s="113"/>
      <c r="P36" s="113"/>
      <c r="Q36" s="113"/>
      <c r="R36" s="113"/>
      <c r="S36" s="151" t="str">
        <f>HYPERLINK("https://www.biblegateway.com/passage/?search=John 16:5-11", "John 16:5-11")</f>
        <v>John 16:5-11</v>
      </c>
      <c r="T36" s="113"/>
      <c r="U36" s="151" t="str">
        <f>HYPERLINK("https://www.biblegateway.com/passage/?search=Joel 2:28,29", "Joel 2:28,29")</f>
        <v>Joel 2:28,29</v>
      </c>
      <c r="V36" s="151" t="str">
        <f>HYPERLINK("https://www.biblegateway.com/passage/?search=Acts 2:1-21", "Acts 2:1-21")</f>
        <v>Acts 2:1-21</v>
      </c>
      <c r="W36" s="151" t="str">
        <f>HYPERLINK("https://www.biblegateway.com/passage/?search=John 16:5-11", "John 16:5-11")</f>
        <v>John 16:5-11</v>
      </c>
      <c r="X36" s="176" t="str">
        <f>HYPERLINK("https://www.biblegateway.com/passage/?search=Psalm 104", "104")</f>
        <v>104</v>
      </c>
      <c r="Y36" s="116" t="s">
        <v>642</v>
      </c>
      <c r="Z36" s="34"/>
      <c r="AA36" s="117"/>
      <c r="AB36" s="177" t="s">
        <v>60</v>
      </c>
    </row>
    <row r="37" spans="1:28">
      <c r="A37" s="16">
        <f t="shared" si="13"/>
        <v>2</v>
      </c>
      <c r="B37" s="37">
        <f t="shared" si="15"/>
        <v>42897</v>
      </c>
      <c r="C37" s="21" t="s">
        <v>439</v>
      </c>
      <c r="D37" s="20" t="s">
        <v>46</v>
      </c>
      <c r="E37" s="20" t="s">
        <v>43</v>
      </c>
      <c r="F37" s="20" t="s">
        <v>64</v>
      </c>
      <c r="G37" s="23"/>
      <c r="H37" s="23" t="str">
        <f t="shared" si="14"/>
        <v>X</v>
      </c>
      <c r="I37" s="20" t="s">
        <v>46</v>
      </c>
      <c r="J37" s="178" t="s">
        <v>631</v>
      </c>
      <c r="K37" s="20"/>
      <c r="L37" s="28" t="str">
        <f>HYPERLINK("https://drive.google.com/drive/folders/0B4o9FS6Fg-3ebkxBVUJ2blRWREk","Service Notes")</f>
        <v>Service Notes</v>
      </c>
      <c r="M37" s="25"/>
      <c r="N37" s="20"/>
      <c r="O37" s="25"/>
      <c r="P37" s="25"/>
      <c r="Q37" s="20" t="s">
        <v>650</v>
      </c>
      <c r="R37" s="25"/>
      <c r="S37" s="31" t="str">
        <f>HYPERLINK("https://www.biblegateway.com/passage/?search=2 Cor 13:11-14", "2 Cor 13:11-14")</f>
        <v>2 Cor 13:11-14</v>
      </c>
      <c r="T37" s="20" t="s">
        <v>653</v>
      </c>
      <c r="U37" s="31" t="str">
        <f>HYPERLINK("https://www.biblegateway.com/passage/?search=Genesis 1:1-2:3", "Genesis 1:1-2:3")</f>
        <v>Genesis 1:1-2:3</v>
      </c>
      <c r="V37" s="31" t="str">
        <f>HYPERLINK("https://www.biblegateway.com/passage/?search=2 Cor 13:11-14", "2 Cor 13:11-14")</f>
        <v>2 Cor 13:11-14</v>
      </c>
      <c r="W37" s="31" t="str">
        <f>HYPERLINK("https://www.biblegateway.com/passage/?search=Matthew 28:16-20", "Matthew 28:16-20")</f>
        <v>Matthew 28:16-20</v>
      </c>
      <c r="X37" s="32" t="str">
        <f>HYPERLINK("https://www.biblegateway.com/passage/?search=Psalm 150", "150")</f>
        <v>150</v>
      </c>
      <c r="Y37" s="33" t="s">
        <v>657</v>
      </c>
      <c r="Z37" s="34"/>
      <c r="AA37" s="26"/>
      <c r="AB37" s="172" t="s">
        <v>60</v>
      </c>
    </row>
    <row r="38" spans="1:28">
      <c r="A38" s="16">
        <f t="shared" si="13"/>
        <v>3</v>
      </c>
      <c r="B38" s="41">
        <f t="shared" si="15"/>
        <v>42904</v>
      </c>
      <c r="C38" s="50" t="s">
        <v>658</v>
      </c>
      <c r="D38" s="43" t="s">
        <v>40</v>
      </c>
      <c r="E38" s="43" t="s">
        <v>40</v>
      </c>
      <c r="F38" s="43" t="s">
        <v>44</v>
      </c>
      <c r="G38" s="44"/>
      <c r="H38" s="44" t="str">
        <f t="shared" si="14"/>
        <v/>
      </c>
      <c r="I38" s="43" t="s">
        <v>82</v>
      </c>
      <c r="J38" s="178" t="s">
        <v>631</v>
      </c>
      <c r="K38" s="43"/>
      <c r="L38" s="49" t="str">
        <f>HYPERLINK("https://drive.google.com/drive/folders/0B4o9FS6Fg-3ec2x2YUtfNnJZZ3M","Service Notes")</f>
        <v>Service Notes</v>
      </c>
      <c r="M38" s="51"/>
      <c r="N38" s="43" t="s">
        <v>91</v>
      </c>
      <c r="O38" s="51"/>
      <c r="P38" s="51"/>
      <c r="Q38" s="51"/>
      <c r="R38" s="51"/>
      <c r="S38" s="52" t="str">
        <f>HYPERLINK("https://www.biblegateway.com/passage/?search=Exodus 20:1-6", "Exodus 20:1-6")</f>
        <v>Exodus 20:1-6</v>
      </c>
      <c r="T38" s="43" t="s">
        <v>660</v>
      </c>
      <c r="U38" s="52" t="str">
        <f>HYPERLINK("https://www.biblegateway.com/passage/?search=Deut 11:18-21,26-28", "Deut 11:18-21,26-28")</f>
        <v>Deut 11:18-21,26-28</v>
      </c>
      <c r="V38" s="60" t="str">
        <f>HYPERLINK("https://www.biblegateway.com/passage/?search=Romans 3:21-25a,27,28", "Romans 3:21-25a,27,28")</f>
        <v>Romans 3:21-25a,27,28</v>
      </c>
      <c r="W38" s="52" t="str">
        <f>HYPERLINK("https://www.biblegateway.com/passage/?search=Matthew 7:15-29", "Matthew 7:15-29")</f>
        <v>Matthew 7:15-29</v>
      </c>
      <c r="X38" s="54" t="str">
        <f>HYPERLINK("https://www.biblegateway.com/passage/?search=Psalm 78", "78")</f>
        <v>78</v>
      </c>
      <c r="Y38" s="47" t="s">
        <v>666</v>
      </c>
      <c r="Z38" s="34"/>
      <c r="AA38" s="53"/>
      <c r="AB38" s="180" t="s">
        <v>402</v>
      </c>
    </row>
    <row r="39" spans="1:28">
      <c r="A39" s="16">
        <f t="shared" si="13"/>
        <v>4</v>
      </c>
      <c r="B39" s="41">
        <f t="shared" si="15"/>
        <v>42911</v>
      </c>
      <c r="C39" s="181" t="s">
        <v>668</v>
      </c>
      <c r="D39" s="43" t="s">
        <v>43</v>
      </c>
      <c r="E39" s="43" t="s">
        <v>46</v>
      </c>
      <c r="F39" s="43" t="s">
        <v>44</v>
      </c>
      <c r="G39" s="44"/>
      <c r="H39" s="44" t="str">
        <f t="shared" si="14"/>
        <v>X</v>
      </c>
      <c r="I39" s="43" t="s">
        <v>46</v>
      </c>
      <c r="J39" s="178" t="s">
        <v>631</v>
      </c>
      <c r="K39" s="43"/>
      <c r="L39" s="49" t="str">
        <f>HYPERLINK("https://drive.google.com/drive/folders/0B4o9FS6Fg-3eWklabk1nRkJRa1E","Service Notes")</f>
        <v>Service Notes</v>
      </c>
      <c r="M39" s="51"/>
      <c r="N39" s="43" t="s">
        <v>672</v>
      </c>
      <c r="O39" s="51"/>
      <c r="P39" s="51"/>
      <c r="Q39" s="43" t="s">
        <v>673</v>
      </c>
      <c r="R39" s="51"/>
      <c r="S39" s="60" t="str">
        <f>HYPERLINK("https://www.biblegateway.com/passage/?search=Psalm 119:46", "Psalm 119:46")</f>
        <v>Psalm 119:46</v>
      </c>
      <c r="T39" s="43" t="s">
        <v>675</v>
      </c>
      <c r="U39" s="49" t="str">
        <f>HYPERLINK("https://www.biblegateway.com/passage/?search=Isaiah 55:6-11", "Isaiah 55:6-11")</f>
        <v>Isaiah 55:6-11</v>
      </c>
      <c r="V39" s="49" t="str">
        <f>HYPERLINK("https://www.biblegateway.com/passage/?search=Romans 10:5-17", "Romans 10:5-17")</f>
        <v>Romans 10:5-17</v>
      </c>
      <c r="W39" s="49" t="str">
        <f>HYPERLINK("https://www.biblegateway.com/passage/?search=Matthew 10:32-39", "Matthew 10:32-39")</f>
        <v>Matthew 10:32-39</v>
      </c>
      <c r="X39" s="54" t="str">
        <f>HYPERLINK("https://www.biblegateway.com/passage/?search=Psalm 119c", "119c")</f>
        <v>119c</v>
      </c>
      <c r="Y39" s="47" t="s">
        <v>679</v>
      </c>
      <c r="Z39" s="34"/>
      <c r="AA39" s="47" t="s">
        <v>118</v>
      </c>
      <c r="AB39" s="180" t="s">
        <v>681</v>
      </c>
    </row>
    <row r="40" spans="1:28">
      <c r="A40" s="16">
        <f t="shared" si="13"/>
        <v>1</v>
      </c>
      <c r="B40" s="41">
        <f t="shared" si="15"/>
        <v>42918</v>
      </c>
      <c r="C40" s="50" t="s">
        <v>683</v>
      </c>
      <c r="D40" s="43" t="s">
        <v>46</v>
      </c>
      <c r="E40" s="43" t="s">
        <v>46</v>
      </c>
      <c r="F40" s="43" t="s">
        <v>64</v>
      </c>
      <c r="G40" s="45"/>
      <c r="H40" s="45" t="str">
        <f t="shared" si="14"/>
        <v/>
      </c>
      <c r="I40" s="43" t="s">
        <v>46</v>
      </c>
      <c r="J40" s="178" t="s">
        <v>631</v>
      </c>
      <c r="K40" s="51"/>
      <c r="L40" s="49" t="str">
        <f>HYPERLINK("https://drive.google.com/drive/u/0/folders/0B4o9FS6Fg-3eR2lQamxWWGNqazQ","Service Notes")</f>
        <v>Service Notes</v>
      </c>
      <c r="M40" s="51"/>
      <c r="N40" s="43" t="s">
        <v>91</v>
      </c>
      <c r="O40" s="51"/>
      <c r="P40" s="51"/>
      <c r="Q40" s="52" t="s">
        <v>685</v>
      </c>
      <c r="R40" s="51"/>
      <c r="S40" s="60" t="str">
        <f>HYPERLINK("https://www.biblegateway.com/passage/?search=Exodus 20:7", "Exodus 20:7")</f>
        <v>Exodus 20:7</v>
      </c>
      <c r="T40" s="43" t="s">
        <v>686</v>
      </c>
      <c r="U40" s="52" t="str">
        <f>HYPERLINK("https://www.biblegateway.com/passage/?search=Exodus 19:2-8a", "Exodus 19:2-8a")</f>
        <v>Exodus 19:2-8a</v>
      </c>
      <c r="V40" s="52" t="str">
        <f>HYPERLINK("https://www.biblegateway.com/passage/?search=Romans 5:6-11", "Romans 5:6-11")</f>
        <v>Romans 5:6-11</v>
      </c>
      <c r="W40" s="52" t="str">
        <f>HYPERLINK("https://www.biblegateway.com/passage/?search=Matthew 9:35-10:8", "Matthew 9:35-10:8")</f>
        <v>Matthew 9:35-10:8</v>
      </c>
      <c r="X40" s="182" t="str">
        <f>HYPERLINK("https://www.biblegateway.com/passage/?search=Psalm 145", "145")</f>
        <v>145</v>
      </c>
      <c r="Y40" s="47" t="s">
        <v>688</v>
      </c>
      <c r="Z40" s="34"/>
      <c r="AA40" s="53"/>
      <c r="AB40" s="180" t="s">
        <v>402</v>
      </c>
    </row>
    <row r="41" spans="1:28">
      <c r="A41" s="16">
        <f t="shared" si="13"/>
        <v>2</v>
      </c>
      <c r="B41" s="41">
        <f t="shared" si="15"/>
        <v>42925</v>
      </c>
      <c r="C41" s="50" t="s">
        <v>689</v>
      </c>
      <c r="D41" s="43" t="s">
        <v>43</v>
      </c>
      <c r="E41" s="43" t="s">
        <v>40</v>
      </c>
      <c r="F41" s="43" t="s">
        <v>521</v>
      </c>
      <c r="G41" s="44"/>
      <c r="H41" s="44" t="str">
        <f t="shared" si="14"/>
        <v>X</v>
      </c>
      <c r="I41" s="43" t="s">
        <v>40</v>
      </c>
      <c r="J41" s="178" t="s">
        <v>631</v>
      </c>
      <c r="K41" s="43"/>
      <c r="L41" s="49" t="str">
        <f>HYPERLINK("https://drive.google.com/drive/u/0/folders/0B4o9FS6Fg-3ecHRlUmZ0RmdsQk0","Service Notes")</f>
        <v>Service Notes</v>
      </c>
      <c r="M41" s="51"/>
      <c r="N41" s="43" t="s">
        <v>83</v>
      </c>
      <c r="O41" s="51"/>
      <c r="P41" s="51"/>
      <c r="Q41" s="52" t="s">
        <v>685</v>
      </c>
      <c r="R41" s="51"/>
      <c r="S41" s="52" t="str">
        <f>HYPERLINK("https://www.biblegateway.com/passage/?search=Exodus 20:8-11", "Exodus 20:8-11")</f>
        <v>Exodus 20:8-11</v>
      </c>
      <c r="T41" s="43" t="s">
        <v>693</v>
      </c>
      <c r="U41" s="52" t="str">
        <f>HYPERLINK("https://www.biblegateway.com/passage/?search=Jeremiah 20:7-13", "Jeremiah 20:7-13")</f>
        <v>Jeremiah 20:7-13</v>
      </c>
      <c r="V41" s="52" t="str">
        <f>HYPERLINK("https://www.biblegateway.com/passage/?search=Romans 5:12-15", "Romans 5:12-15")</f>
        <v>Romans 5:12-15</v>
      </c>
      <c r="W41" s="60" t="str">
        <f>HYPERLINK("https://www.biblegateway.com/passage/?search=Matthew 10:24-33", "Matthew 10:24-33")</f>
        <v>Matthew 10:24-33</v>
      </c>
      <c r="X41" s="182" t="str">
        <f>HYPERLINK("https://www.biblegateway.com/passage/?search=Psalm 84", "84")</f>
        <v>84</v>
      </c>
      <c r="Y41" s="47" t="s">
        <v>697</v>
      </c>
      <c r="Z41" s="34"/>
      <c r="AA41" s="47" t="s">
        <v>698</v>
      </c>
      <c r="AB41" s="180" t="s">
        <v>402</v>
      </c>
    </row>
    <row r="42" spans="1:28">
      <c r="A42" s="16">
        <f t="shared" si="13"/>
        <v>3</v>
      </c>
      <c r="B42" s="41">
        <f t="shared" si="15"/>
        <v>42932</v>
      </c>
      <c r="C42" s="181" t="s">
        <v>699</v>
      </c>
      <c r="D42" s="43" t="s">
        <v>63</v>
      </c>
      <c r="E42" s="43" t="s">
        <v>40</v>
      </c>
      <c r="F42" s="43" t="s">
        <v>700</v>
      </c>
      <c r="G42" s="45"/>
      <c r="H42" s="45" t="str">
        <f t="shared" si="14"/>
        <v/>
      </c>
      <c r="I42" s="195" t="s">
        <v>703</v>
      </c>
      <c r="J42" s="196" t="s">
        <v>704</v>
      </c>
      <c r="K42" s="43"/>
      <c r="L42" s="49" t="str">
        <f>HYPERLINK("https://drive.google.com/drive/u/0/folders/0B4o9FS6Fg-3eaGlDYU9sbVlpbVU","Service Notes")</f>
        <v>Service Notes</v>
      </c>
      <c r="M42" s="51"/>
      <c r="N42" s="43" t="s">
        <v>91</v>
      </c>
      <c r="O42" s="51"/>
      <c r="P42" s="51"/>
      <c r="Q42" s="52" t="s">
        <v>685</v>
      </c>
      <c r="R42" s="51"/>
      <c r="S42" s="52" t="str">
        <f>HYPERLINK("https://www.biblegateway.com/passage/?search=Exodus 20:12", "Exodus 20:12")</f>
        <v>Exodus 20:12</v>
      </c>
      <c r="T42" s="43" t="s">
        <v>708</v>
      </c>
      <c r="U42" s="52" t="str">
        <f>HYPERLINK("https://www.biblegateway.com/passage/?search=Jeremiah 28:5-9", "Jeremiah 28:5-9")</f>
        <v>Jeremiah 28:5-9</v>
      </c>
      <c r="V42" s="52" t="str">
        <f>HYPERLINK("https://www.biblegateway.com/passage/?search=Romans 6:1b-11", "Romans 6:1b-11")</f>
        <v>Romans 6:1b-11</v>
      </c>
      <c r="W42" s="52" t="str">
        <f>HYPERLINK("https://www.biblegateway.com/passage/?search=Matthew 10:34-42", "Matthew 10:34-42")</f>
        <v>Matthew 10:34-42</v>
      </c>
      <c r="X42" s="182" t="str">
        <f>HYPERLINK("https://www.biblegateway.com/passage/?search=Psalm 63", "63")</f>
        <v>63</v>
      </c>
      <c r="Y42" s="47" t="s">
        <v>712</v>
      </c>
      <c r="Z42" s="34"/>
      <c r="AA42" s="47" t="s">
        <v>713</v>
      </c>
      <c r="AB42" s="180" t="s">
        <v>60</v>
      </c>
    </row>
    <row r="43" spans="1:28">
      <c r="A43" s="16">
        <f t="shared" si="13"/>
        <v>4</v>
      </c>
      <c r="B43" s="41">
        <f t="shared" si="15"/>
        <v>42939</v>
      </c>
      <c r="C43" s="50" t="s">
        <v>714</v>
      </c>
      <c r="D43" s="43" t="s">
        <v>40</v>
      </c>
      <c r="E43" s="43" t="s">
        <v>40</v>
      </c>
      <c r="F43" s="43" t="s">
        <v>44</v>
      </c>
      <c r="G43" s="44"/>
      <c r="H43" s="44" t="str">
        <f t="shared" si="14"/>
        <v>X</v>
      </c>
      <c r="I43" s="43" t="s">
        <v>46</v>
      </c>
      <c r="J43" s="196" t="s">
        <v>704</v>
      </c>
      <c r="K43" s="43"/>
      <c r="L43" s="49" t="str">
        <f>HYPERLINK("https://drive.google.com/drive/u/0/folders/0B4o9FS6Fg-3eTHVyXzAzOUx0RUk","Service Notes")</f>
        <v>Service Notes</v>
      </c>
      <c r="M43" s="51"/>
      <c r="N43" s="43" t="s">
        <v>105</v>
      </c>
      <c r="O43" s="51"/>
      <c r="P43" s="51"/>
      <c r="Q43" s="52" t="s">
        <v>685</v>
      </c>
      <c r="R43" s="51"/>
      <c r="S43" s="52" t="str">
        <f>HYPERLINK("https://www.biblegateway.com/passage/?search=Matthew 5:21-24", "Matthew 5:21-24")</f>
        <v>Matthew 5:21-24</v>
      </c>
      <c r="T43" s="43" t="s">
        <v>717</v>
      </c>
      <c r="U43" s="52" t="str">
        <f>HYPERLINK("https://www.biblegateway.com/passage/?search=Exodus 33:12-23", "Exodus 33:12-23")</f>
        <v>Exodus 33:12-23</v>
      </c>
      <c r="V43" s="52" t="str">
        <f>HYPERLINK("https://www.biblegateway.com/passage/?search=Romans 7:15-25a", "Romans 7:15-25a")</f>
        <v>Romans 7:15-25a</v>
      </c>
      <c r="W43" s="52" t="str">
        <f>HYPERLINK("https://www.biblegateway.com/passage/?search=Matthew 11:25-30", "Matthew 11:25-30")</f>
        <v>Matthew 11:25-30</v>
      </c>
      <c r="X43" s="182" t="str">
        <f>HYPERLINK("https://www.biblegateway.com/passage/?search=Psalm 139", "139")</f>
        <v>139</v>
      </c>
      <c r="Y43" s="47" t="s">
        <v>722</v>
      </c>
      <c r="Z43" s="39"/>
      <c r="AA43" s="47" t="s">
        <v>723</v>
      </c>
      <c r="AB43" s="180" t="s">
        <v>60</v>
      </c>
    </row>
    <row r="44" spans="1:28">
      <c r="A44" s="16">
        <f t="shared" si="13"/>
        <v>5</v>
      </c>
      <c r="B44" s="41">
        <f t="shared" si="15"/>
        <v>42946</v>
      </c>
      <c r="C44" s="181" t="s">
        <v>724</v>
      </c>
      <c r="D44" s="43" t="s">
        <v>46</v>
      </c>
      <c r="E44" s="43" t="s">
        <v>46</v>
      </c>
      <c r="F44" s="43" t="s">
        <v>725</v>
      </c>
      <c r="G44" s="44"/>
      <c r="H44" s="44" t="str">
        <f t="shared" si="14"/>
        <v>X</v>
      </c>
      <c r="I44" s="43" t="s">
        <v>46</v>
      </c>
      <c r="J44" s="196" t="s">
        <v>704</v>
      </c>
      <c r="K44" s="43"/>
      <c r="L44" s="49" t="str">
        <f>HYPERLINK("https://drive.google.com/drive/u/0/folders/0B4o9FS6Fg-3eVlljdnUyTFNpakU","Service Notes")</f>
        <v>Service Notes</v>
      </c>
      <c r="M44" s="51"/>
      <c r="N44" s="43" t="s">
        <v>727</v>
      </c>
      <c r="O44" s="51"/>
      <c r="P44" s="51"/>
      <c r="Q44" s="52" t="s">
        <v>685</v>
      </c>
      <c r="R44" s="51"/>
      <c r="T44" s="43" t="s">
        <v>731</v>
      </c>
      <c r="U44" s="52" t="str">
        <f>HYPERLINK("https://www.biblegateway.com/passage/?search=Isaiah 55:10,11", "Isaiah 55:10,11")</f>
        <v>Isaiah 55:10,11</v>
      </c>
      <c r="V44" s="52" t="str">
        <f>HYPERLINK("https://www.biblegateway.com/passage/?search=Romans 8:18-25", "Romans 8:18-25")</f>
        <v>Romans 8:18-25</v>
      </c>
      <c r="W44" s="52" t="str">
        <f>HYPERLINK("https://www.biblegateway.com/passage/?search=Matthew 13:1-9,18-23", "Matthew 13:1-9,18-23")</f>
        <v>Matthew 13:1-9,18-23</v>
      </c>
      <c r="X44" s="54" t="str">
        <f>HYPERLINK("https://www.biblegateway.com/passage/?search=Psalm 65", "65")</f>
        <v>65</v>
      </c>
      <c r="Y44" s="47" t="s">
        <v>733</v>
      </c>
      <c r="Z44" s="34"/>
      <c r="AA44" s="47" t="s">
        <v>734</v>
      </c>
      <c r="AB44" s="180" t="s">
        <v>60</v>
      </c>
    </row>
    <row r="45" spans="1:28">
      <c r="A45" s="16">
        <f t="shared" si="13"/>
        <v>1</v>
      </c>
      <c r="B45" s="41">
        <f t="shared" si="15"/>
        <v>42953</v>
      </c>
      <c r="C45" s="50" t="s">
        <v>735</v>
      </c>
      <c r="D45" s="43" t="s">
        <v>40</v>
      </c>
      <c r="E45" s="43" t="s">
        <v>40</v>
      </c>
      <c r="F45" s="43" t="s">
        <v>44</v>
      </c>
      <c r="G45" s="44"/>
      <c r="H45" s="44" t="str">
        <f t="shared" si="14"/>
        <v/>
      </c>
      <c r="I45" s="43" t="s">
        <v>46</v>
      </c>
      <c r="J45" s="178" t="s">
        <v>631</v>
      </c>
      <c r="K45" s="51"/>
      <c r="L45" s="49" t="str">
        <f>HYPERLINK("https://drive.google.com/drive/folders/0B4o9FS6Fg-3eUHFIZnhnQVdmYWs","Service Notes")</f>
        <v>Service Notes</v>
      </c>
      <c r="M45" s="43" t="s">
        <v>738</v>
      </c>
      <c r="N45" s="43" t="s">
        <v>52</v>
      </c>
      <c r="O45" s="43"/>
      <c r="P45" s="51"/>
      <c r="Q45" s="43"/>
      <c r="R45" s="51"/>
      <c r="S45" s="52" t="str">
        <f>HYPERLINK("https://www.biblegateway.com/passage/?search=1 Timothy 6:6-10,17-19", "1 Timothy 6:6-10,17-19")</f>
        <v>1 Timothy 6:6-10,17-19</v>
      </c>
      <c r="T45" s="43" t="s">
        <v>740</v>
      </c>
      <c r="U45" s="60" t="str">
        <f>HYPERLINK("https://www.biblegateway.com/passage/?search=Joel 3:12-16", "Joel 3:12-16")</f>
        <v>Joel 3:12-16</v>
      </c>
      <c r="V45" s="52" t="str">
        <f>HYPERLINK("https://www.biblegateway.com/passage/?search=Romans 8:26,27", "Romans 8:26,27")</f>
        <v>Romans 8:26,27</v>
      </c>
      <c r="W45" s="52" t="str">
        <f>HYPERLINK("https://www.biblegateway.com/passage/?search=Matthew 13:24-30,36-43", "Matthew 13:24-30,36-43")</f>
        <v>Matthew 13:24-30,36-43</v>
      </c>
      <c r="X45" s="54" t="str">
        <f>HYPERLINK("https://www.biblegateway.com/passage/?search=Psalm 18, 23", "18, 23")</f>
        <v>18, 23</v>
      </c>
      <c r="Y45" s="47" t="s">
        <v>744</v>
      </c>
      <c r="Z45" s="34"/>
      <c r="AA45" s="47" t="s">
        <v>745</v>
      </c>
      <c r="AB45" s="180" t="s">
        <v>268</v>
      </c>
    </row>
    <row r="46" spans="1:28">
      <c r="A46" s="16">
        <f t="shared" si="13"/>
        <v>2</v>
      </c>
      <c r="B46" s="41">
        <f t="shared" si="15"/>
        <v>42960</v>
      </c>
      <c r="C46" s="50" t="s">
        <v>746</v>
      </c>
      <c r="D46" s="43" t="s">
        <v>46</v>
      </c>
      <c r="E46" s="43" t="s">
        <v>40</v>
      </c>
      <c r="F46" s="43" t="s">
        <v>417</v>
      </c>
      <c r="G46" s="44"/>
      <c r="H46" s="44" t="str">
        <f t="shared" si="14"/>
        <v>X</v>
      </c>
      <c r="I46" s="43" t="s">
        <v>46</v>
      </c>
      <c r="J46" s="178" t="s">
        <v>631</v>
      </c>
      <c r="K46" s="200"/>
      <c r="L46" s="49" t="str">
        <f>HYPERLINK("https://drive.google.com/drive/u/0/folders/0B4o9FS6Fg-3ecl9ad21CWkxDZmM","Service Notes")</f>
        <v>Service Notes</v>
      </c>
      <c r="M46" s="51"/>
      <c r="N46" s="43" t="s">
        <v>83</v>
      </c>
      <c r="O46" s="51"/>
      <c r="P46" s="51"/>
      <c r="Q46" s="52" t="s">
        <v>685</v>
      </c>
      <c r="R46" s="51"/>
      <c r="S46" s="60" t="str">
        <f>HYPERLINK("https://www.biblegateway.com/passage/?search=James 3:1-12", "James 3:1-12")</f>
        <v>James 3:1-12</v>
      </c>
      <c r="T46" s="43" t="s">
        <v>748</v>
      </c>
      <c r="U46" s="52" t="str">
        <f>HYPERLINK("https://www.biblegateway.com/passage/?search=1 Kings 3:5-12", "1 Kings 3:5-12")</f>
        <v>1 Kings 3:5-12</v>
      </c>
      <c r="V46" s="60" t="str">
        <f>HYPERLINK("https://www.biblegateway.com/passage/?search=Romans 8:28-30", "Romans 8:28-30")</f>
        <v>Romans 8:28-30</v>
      </c>
      <c r="W46" s="52" t="str">
        <f>HYPERLINK("https://www.biblegateway.com/passage/?search=Matthew 13:44-52", "Matthew 13:44-52")</f>
        <v>Matthew 13:44-52</v>
      </c>
      <c r="X46" s="54" t="str">
        <f>HYPERLINK("https://www.biblegateway.com/passage/?search=Psalm 119b", "119b")</f>
        <v>119b</v>
      </c>
      <c r="Y46" s="47" t="s">
        <v>752</v>
      </c>
      <c r="Z46" s="34"/>
      <c r="AA46" s="53"/>
      <c r="AB46" s="180" t="s">
        <v>268</v>
      </c>
    </row>
    <row r="47" spans="1:28">
      <c r="A47" s="16">
        <f t="shared" si="13"/>
        <v>3</v>
      </c>
      <c r="B47" s="41">
        <f t="shared" si="15"/>
        <v>42967</v>
      </c>
      <c r="C47" s="50" t="s">
        <v>754</v>
      </c>
      <c r="D47" s="43" t="s">
        <v>43</v>
      </c>
      <c r="E47" s="43" t="s">
        <v>43</v>
      </c>
      <c r="F47" s="43" t="s">
        <v>755</v>
      </c>
      <c r="G47" s="44"/>
      <c r="H47" s="44" t="str">
        <f t="shared" si="14"/>
        <v/>
      </c>
      <c r="I47" s="43" t="s">
        <v>559</v>
      </c>
      <c r="J47" s="178" t="s">
        <v>631</v>
      </c>
      <c r="K47" s="43"/>
      <c r="L47" s="49" t="str">
        <f>HYPERLINK("https://drive.google.com/drive/folders/0B4o9FS6Fg-3eR1pKWktNRE54eG8","Service Notes")</f>
        <v>Service Notes</v>
      </c>
      <c r="M47" s="59"/>
      <c r="N47" s="43" t="s">
        <v>91</v>
      </c>
      <c r="O47" s="51"/>
      <c r="P47" s="51"/>
      <c r="Q47" s="43"/>
      <c r="R47" s="51"/>
      <c r="S47" s="49" t="str">
        <f>HYPERLINK("https://www.biblegateway.com/passage/?search=Matthew 14:13-21", "Matthew 14:13-21")</f>
        <v>Matthew 14:13-21</v>
      </c>
      <c r="T47" s="202" t="s">
        <v>757</v>
      </c>
      <c r="U47" s="52" t="str">
        <f>HYPERLINK("https://www.biblegateway.com/passage/?search=Isaiah 55:1-5", "Isaiah 55:1-5")</f>
        <v>Isaiah 55:1-5</v>
      </c>
      <c r="V47" s="52" t="str">
        <f>HYPERLINK("https://www.biblegateway.com/passage/?search=Romans 8:35-39", "Romans 8:35-39")</f>
        <v>Romans 8:35-39</v>
      </c>
      <c r="W47" s="52" t="str">
        <f>HYPERLINK("https://www.biblegateway.com/passage/?search=Matthew 14:13-21", "Matthew 14:13-21")</f>
        <v>Matthew 14:13-21</v>
      </c>
      <c r="X47" s="54" t="str">
        <f>HYPERLINK("https://www.biblegateway.com/passage/?search=Psalm 42-43", "42-43")</f>
        <v>42-43</v>
      </c>
      <c r="Y47" s="47" t="s">
        <v>762</v>
      </c>
      <c r="Z47" s="34"/>
      <c r="AA47" s="47" t="s">
        <v>763</v>
      </c>
      <c r="AB47" s="180" t="s">
        <v>268</v>
      </c>
    </row>
    <row r="48" spans="1:28">
      <c r="A48" s="16">
        <f t="shared" si="13"/>
        <v>4</v>
      </c>
      <c r="B48" s="41">
        <f t="shared" si="15"/>
        <v>42974</v>
      </c>
      <c r="C48" s="50" t="s">
        <v>764</v>
      </c>
      <c r="D48" s="43" t="s">
        <v>40</v>
      </c>
      <c r="E48" s="43" t="s">
        <v>43</v>
      </c>
      <c r="F48" s="43" t="s">
        <v>64</v>
      </c>
      <c r="G48" s="44"/>
      <c r="H48" s="44" t="str">
        <f t="shared" si="14"/>
        <v>X</v>
      </c>
      <c r="I48" s="43" t="s">
        <v>46</v>
      </c>
      <c r="J48" s="178" t="s">
        <v>631</v>
      </c>
      <c r="K48" s="43"/>
      <c r="L48" s="49" t="str">
        <f>HYPERLINK("https://drive.google.com/drive/folders/0B4o9FS6Fg-3eWE10aHpHbVhfaGs","Service Notes")</f>
        <v>Service Notes</v>
      </c>
      <c r="M48" s="51"/>
      <c r="N48" s="43" t="s">
        <v>766</v>
      </c>
      <c r="O48" s="51"/>
      <c r="P48" s="51"/>
      <c r="Q48" s="43" t="s">
        <v>605</v>
      </c>
      <c r="R48" s="43"/>
      <c r="S48" s="60" t="str">
        <f>HYPERLINK("https://www.biblegateway.com/passage/?search=Romans 7:7-25", "Romans 7:7-25")</f>
        <v>Romans 7:7-25</v>
      </c>
      <c r="T48" s="43" t="s">
        <v>767</v>
      </c>
      <c r="U48" s="60" t="str">
        <f>HYPERLINK("https://www.biblegateway.com/passage/?search=1 Kings 19:9-18", "1 Kings 19:9-18")</f>
        <v>1 Kings 19:9-18</v>
      </c>
      <c r="V48" s="60" t="str">
        <f>HYPERLINK("https://www.biblegateway.com/passage/?search=Romans 9:1-5", "Romans 9:1-5")</f>
        <v>Romans 9:1-5</v>
      </c>
      <c r="W48" s="60" t="str">
        <f>HYPERLINK("https://www.biblegateway.com/passage/?search=Matthew 14:22-33", "Matthew 14:22-33")</f>
        <v>Matthew 14:22-33</v>
      </c>
      <c r="X48" s="54" t="str">
        <f>HYPERLINK("https://www.biblegateway.com/passage/?search=Psalm 73", "73")</f>
        <v>73</v>
      </c>
      <c r="Y48" s="205" t="s">
        <v>770</v>
      </c>
      <c r="Z48" s="34"/>
      <c r="AA48" s="47" t="s">
        <v>772</v>
      </c>
      <c r="AB48" s="180" t="s">
        <v>268</v>
      </c>
    </row>
    <row r="49" spans="1:28">
      <c r="A49" s="16">
        <f t="shared" si="13"/>
        <v>1</v>
      </c>
      <c r="B49" s="41">
        <f t="shared" si="15"/>
        <v>42981</v>
      </c>
      <c r="C49" s="50" t="s">
        <v>773</v>
      </c>
      <c r="D49" s="43" t="s">
        <v>63</v>
      </c>
      <c r="E49" s="43" t="s">
        <v>43</v>
      </c>
      <c r="F49" s="43" t="s">
        <v>64</v>
      </c>
      <c r="G49" s="45"/>
      <c r="H49" s="45" t="str">
        <f t="shared" si="14"/>
        <v/>
      </c>
      <c r="I49" s="206" t="s">
        <v>774</v>
      </c>
      <c r="J49" s="206" t="s">
        <v>774</v>
      </c>
      <c r="K49" s="43"/>
      <c r="L49" s="49" t="str">
        <f>HYPERLINK("https://drive.google.com/drive/u/0/folders/0B4o9FS6Fg-3eZFpPa0tWN251MFk","Service Notes")</f>
        <v>Service Notes</v>
      </c>
      <c r="M49" s="51"/>
      <c r="N49" s="43" t="s">
        <v>776</v>
      </c>
      <c r="O49" s="51"/>
      <c r="P49" s="51"/>
      <c r="Q49" s="43" t="s">
        <v>617</v>
      </c>
      <c r="R49" s="51"/>
      <c r="S49" s="60" t="str">
        <f>HYPERLINK("https://www.biblegateway.com/passage/?search=Matthew 15:21-28", "Matthew 15:21-28")</f>
        <v>Matthew 15:21-28</v>
      </c>
      <c r="T49" s="43" t="s">
        <v>777</v>
      </c>
      <c r="U49" s="60" t="str">
        <f>HYPERLINK("https://www.biblegateway.com/passage/?search=Isaiah 56:1, 6-8", "Isaiah 56:1, 6-8")</f>
        <v>Isaiah 56:1, 6-8</v>
      </c>
      <c r="V49" s="52" t="str">
        <f>HYPERLINK("https://www.biblegateway.com/passage/?search=Romans 11:13-15, 28-32", "Romans 11:13-15, 28-32")</f>
        <v>Romans 11:13-15, 28-32</v>
      </c>
      <c r="W49" s="52" t="str">
        <f>HYPERLINK("https://www.biblegateway.com/passage/?search=Matthew 15:21-28", "Matthew 15:21-28")</f>
        <v>Matthew 15:21-28</v>
      </c>
      <c r="X49" s="182" t="str">
        <f>HYPERLINK("https://www.biblegateway.com/passage/?search=Psalm 133-134", "133-134")</f>
        <v>133-134</v>
      </c>
      <c r="Y49" s="57" t="s">
        <v>781</v>
      </c>
      <c r="Z49" s="39"/>
      <c r="AA49" s="47"/>
      <c r="AB49" s="180" t="s">
        <v>60</v>
      </c>
    </row>
    <row r="50" spans="1:28">
      <c r="A50" s="16">
        <f t="shared" si="13"/>
        <v>2</v>
      </c>
      <c r="B50" s="41">
        <f t="shared" si="15"/>
        <v>42988</v>
      </c>
      <c r="C50" s="50" t="s">
        <v>782</v>
      </c>
      <c r="D50" s="43" t="s">
        <v>40</v>
      </c>
      <c r="E50" s="43" t="s">
        <v>46</v>
      </c>
      <c r="F50" s="43" t="s">
        <v>64</v>
      </c>
      <c r="G50" s="44"/>
      <c r="H50" s="44" t="str">
        <f t="shared" si="14"/>
        <v>X</v>
      </c>
      <c r="I50" s="43" t="s">
        <v>46</v>
      </c>
      <c r="J50" s="208" t="s">
        <v>783</v>
      </c>
      <c r="K50" s="51"/>
      <c r="L50" s="49" t="str">
        <f>HYPERLINK("https://drive.google.com/drive/folders/0B4o9FS6Fg-3edmtPM2hPRHJ6ZDg","Service Notes")</f>
        <v>Service Notes</v>
      </c>
      <c r="M50" s="51"/>
      <c r="N50" s="43" t="s">
        <v>83</v>
      </c>
      <c r="O50" s="51"/>
      <c r="P50" s="51"/>
      <c r="Q50" s="43" t="s">
        <v>633</v>
      </c>
      <c r="R50" s="51"/>
      <c r="S50" s="52" t="str">
        <f>HYPERLINK("https://www.biblegateway.com/passage/?search=Romans 11:33-36", "Romans 11:33-36")</f>
        <v>Romans 11:33-36</v>
      </c>
      <c r="T50" s="43" t="s">
        <v>784</v>
      </c>
      <c r="U50" s="52" t="str">
        <f>HYPERLINK("https://www.biblegateway.com/passage/?search=Exodus 6:2-8", "Exodus 6:2-8")</f>
        <v>Exodus 6:2-8</v>
      </c>
      <c r="V50" s="60" t="str">
        <f>HYPERLINK("https://www.biblegateway.com/passage/?search=Romans 11:33-36", "Romans 11:33-36")</f>
        <v>Romans 11:33-36</v>
      </c>
      <c r="W50" s="52" t="str">
        <f>HYPERLINK("https://www.biblegateway.com/passage/?search=Matthew 16:13-20", "Matthew 16:13-20")</f>
        <v>Matthew 16:13-20</v>
      </c>
      <c r="X50" s="54" t="str">
        <f>HYPERLINK("https://www.biblegateway.com/passage/?search=Psalm see notes", "see notes")</f>
        <v>see notes</v>
      </c>
      <c r="Y50" s="161" t="s">
        <v>787</v>
      </c>
      <c r="Z50" s="39"/>
      <c r="AA50" s="53"/>
      <c r="AB50" s="180" t="s">
        <v>60</v>
      </c>
    </row>
    <row r="51" spans="1:28">
      <c r="A51" s="16">
        <f t="shared" si="13"/>
        <v>3</v>
      </c>
      <c r="B51" s="41">
        <f t="shared" si="15"/>
        <v>42995</v>
      </c>
      <c r="C51" s="210" t="s">
        <v>789</v>
      </c>
      <c r="D51" s="43" t="s">
        <v>46</v>
      </c>
      <c r="E51" s="43" t="s">
        <v>46</v>
      </c>
      <c r="F51" s="43" t="s">
        <v>44</v>
      </c>
      <c r="G51" s="45"/>
      <c r="H51" s="45" t="str">
        <f t="shared" si="14"/>
        <v/>
      </c>
      <c r="I51" s="43" t="s">
        <v>46</v>
      </c>
      <c r="J51" s="211" t="s">
        <v>783</v>
      </c>
      <c r="K51" s="43"/>
      <c r="L51" s="49" t="str">
        <f>HYPERLINK("https://drive.google.com/drive/folders/0B4o9FS6Fg-3eZUxBdHRrcVpSN2c","Service Notes")</f>
        <v>Service Notes</v>
      </c>
      <c r="M51" s="51"/>
      <c r="N51" s="43" t="s">
        <v>91</v>
      </c>
      <c r="O51" s="51"/>
      <c r="P51" s="51"/>
      <c r="Q51" s="43" t="s">
        <v>654</v>
      </c>
      <c r="R51" s="51"/>
      <c r="S51" s="52" t="str">
        <f>HYPERLINK("https://www.biblegateway.com/passage/?search=Jeremiah 15:15-21", "Jeremiah 15:15-21")</f>
        <v>Jeremiah 15:15-21</v>
      </c>
      <c r="T51" s="43" t="s">
        <v>791</v>
      </c>
      <c r="U51" s="52" t="str">
        <f>HYPERLINK("https://www.biblegateway.com/passage/?search=Jeremiah 15:15-21", "Jeremiah 15:15-21")</f>
        <v>Jeremiah 15:15-21</v>
      </c>
      <c r="V51" s="60" t="str">
        <f>HYPERLINK("https://www.biblegateway.com/passage/?search=Romans 12:1-8", "Romans 12:1-8")</f>
        <v>Romans 12:1-8</v>
      </c>
      <c r="W51" s="52" t="str">
        <f>HYPERLINK("https://www.biblegateway.com/passage/?search=Matthew 16:21-26", "Matthew 16:21-26")</f>
        <v>Matthew 16:21-26</v>
      </c>
      <c r="X51" s="54" t="str">
        <f>HYPERLINK("https://www.biblegateway.com/passage/?search=Psalm 121", "121")</f>
        <v>121</v>
      </c>
      <c r="Y51" s="57" t="s">
        <v>793</v>
      </c>
      <c r="Z51" s="39"/>
      <c r="AA51" s="47"/>
      <c r="AB51" s="180" t="s">
        <v>60</v>
      </c>
    </row>
    <row r="52" spans="1:28">
      <c r="A52" s="16">
        <f t="shared" si="13"/>
        <v>4</v>
      </c>
      <c r="B52" s="41">
        <f t="shared" si="15"/>
        <v>43002</v>
      </c>
      <c r="C52" s="210" t="s">
        <v>794</v>
      </c>
      <c r="D52" s="43" t="s">
        <v>43</v>
      </c>
      <c r="E52" s="43" t="s">
        <v>43</v>
      </c>
      <c r="F52" s="43" t="s">
        <v>417</v>
      </c>
      <c r="G52" s="44"/>
      <c r="H52" s="44" t="str">
        <f t="shared" si="14"/>
        <v>X</v>
      </c>
      <c r="I52" s="43" t="s">
        <v>46</v>
      </c>
      <c r="J52" s="211" t="s">
        <v>783</v>
      </c>
      <c r="K52" s="43"/>
      <c r="L52" s="49" t="str">
        <f>HYPERLINK("https://drive.google.com/drive/folders/0B4o9FS6Fg-3eSDFzZndnLXdtMEU","Service Notes")</f>
        <v>Service Notes</v>
      </c>
      <c r="M52" s="51"/>
      <c r="N52" s="43" t="s">
        <v>796</v>
      </c>
      <c r="O52" s="43"/>
      <c r="P52" s="51"/>
      <c r="Q52" s="43"/>
      <c r="R52" s="51"/>
      <c r="S52" s="60" t="str">
        <f>HYPERLINK("https://www.biblegateway.com/passage/?search=Matthew 18:15-20", "Matthew 18:15-20")</f>
        <v>Matthew 18:15-20</v>
      </c>
      <c r="T52" s="43" t="s">
        <v>798</v>
      </c>
      <c r="U52" s="43" t="s">
        <v>799</v>
      </c>
      <c r="V52" s="60" t="str">
        <f>HYPERLINK("https://www.biblegateway.com/passage/?search=Romans 13:1-10", "Romans 13:1-10")</f>
        <v>Romans 13:1-10</v>
      </c>
      <c r="W52" s="52" t="str">
        <f>HYPERLINK("https://www.biblegateway.com/passage/?search=Matthew 18:15-20", "Matthew 18:15-20")</f>
        <v>Matthew 18:15-20</v>
      </c>
      <c r="X52" s="54" t="str">
        <f>HYPERLINK("https://www.biblegateway.com/passage/?search=Psalm see notes", "see notes")</f>
        <v>see notes</v>
      </c>
      <c r="Y52" s="57" t="s">
        <v>801</v>
      </c>
      <c r="Z52" s="39"/>
      <c r="AA52" s="47" t="s">
        <v>152</v>
      </c>
      <c r="AB52" s="180" t="s">
        <v>60</v>
      </c>
    </row>
    <row r="53" spans="1:28">
      <c r="A53" s="16">
        <f t="shared" si="13"/>
        <v>1</v>
      </c>
      <c r="B53" s="41">
        <f t="shared" si="15"/>
        <v>43009</v>
      </c>
      <c r="C53" s="210" t="s">
        <v>802</v>
      </c>
      <c r="D53" s="43" t="s">
        <v>46</v>
      </c>
      <c r="E53" s="43" t="s">
        <v>46</v>
      </c>
      <c r="F53" s="43" t="s">
        <v>803</v>
      </c>
      <c r="G53" s="45"/>
      <c r="H53" s="45" t="str">
        <f t="shared" si="14"/>
        <v/>
      </c>
      <c r="I53" s="43" t="s">
        <v>46</v>
      </c>
      <c r="J53" s="213" t="s">
        <v>804</v>
      </c>
      <c r="K53" s="43"/>
      <c r="L53" s="49" t="str">
        <f>HYPERLINK("https://drive.google.com/drive/folders/0B4o9FS6Fg-3eTEtXdUQ5YUk3MFU","Service Notes")</f>
        <v>Service Notes</v>
      </c>
      <c r="M53" s="51"/>
      <c r="N53" s="43" t="s">
        <v>805</v>
      </c>
      <c r="O53" s="51"/>
      <c r="P53" s="51"/>
      <c r="Q53" s="43" t="s">
        <v>696</v>
      </c>
      <c r="R53" s="51"/>
      <c r="S53" s="52" t="str">
        <f>HYPERLINK("https://www.biblegateway.com/passage/?search=Genesis 50:15-21", "Genesis 50:15-21")</f>
        <v>Genesis 50:15-21</v>
      </c>
      <c r="T53" s="43" t="s">
        <v>806</v>
      </c>
      <c r="U53" s="52" t="str">
        <f>HYPERLINK("https://www.biblegateway.com/passage/?search=Genesis 50:15-21", "Genesis 50:15-21")</f>
        <v>Genesis 50:15-21</v>
      </c>
      <c r="V53" s="52" t="str">
        <f>HYPERLINK("https://www.biblegateway.com/passage/?search=Romans 14:5-9", "Romans 14:5-9")</f>
        <v>Romans 14:5-9</v>
      </c>
      <c r="W53" s="52" t="str">
        <f>HYPERLINK("https://www.biblegateway.com/passage/?search=Matthew 18:21-35", "Matthew 18:21-35")</f>
        <v>Matthew 18:21-35</v>
      </c>
      <c r="X53" s="54" t="str">
        <f>HYPERLINK("https://www.biblegateway.com/passage/?search=Psalm 103", "103")</f>
        <v>103</v>
      </c>
      <c r="Y53" s="47" t="s">
        <v>810</v>
      </c>
      <c r="Z53" s="39"/>
      <c r="AA53" s="47" t="s">
        <v>811</v>
      </c>
      <c r="AB53" s="180" t="s">
        <v>60</v>
      </c>
    </row>
    <row r="54" spans="1:28">
      <c r="A54" s="16">
        <f t="shared" si="13"/>
        <v>2</v>
      </c>
      <c r="B54" s="41">
        <f t="shared" si="15"/>
        <v>43016</v>
      </c>
      <c r="C54" s="210" t="s">
        <v>814</v>
      </c>
      <c r="D54" s="43" t="s">
        <v>43</v>
      </c>
      <c r="E54" s="43" t="s">
        <v>46</v>
      </c>
      <c r="F54" s="43" t="s">
        <v>817</v>
      </c>
      <c r="G54" s="44"/>
      <c r="H54" s="44" t="str">
        <f t="shared" si="14"/>
        <v>X</v>
      </c>
      <c r="I54" s="43" t="s">
        <v>46</v>
      </c>
      <c r="J54" s="217" t="s">
        <v>804</v>
      </c>
      <c r="K54" s="43"/>
      <c r="L54" s="49" t="str">
        <f>HYPERLINK("https://drive.google.com/drive/folders/0B4o9FS6Fg-3eZnAzczd5MVdvZ3c","Service Notes")</f>
        <v>Service Notes</v>
      </c>
      <c r="M54" s="51"/>
      <c r="N54" s="43" t="s">
        <v>514</v>
      </c>
      <c r="O54" s="51"/>
      <c r="P54" s="51"/>
      <c r="Q54" s="43" t="s">
        <v>707</v>
      </c>
      <c r="R54" s="51"/>
      <c r="S54" s="52" t="str">
        <f>HYPERLINK("https://www.biblegateway.com/passage/?search=Philippians 1:18-27", "Philippians 1:18-27")</f>
        <v>Philippians 1:18-27</v>
      </c>
      <c r="T54" s="43" t="s">
        <v>820</v>
      </c>
      <c r="U54" s="52" t="str">
        <f>HYPERLINK("https://www.biblegateway.com/passage/?search=Isaiah 55:6-9", "Isaiah 55:6-9")</f>
        <v>Isaiah 55:6-9</v>
      </c>
      <c r="V54" s="60" t="str">
        <f>HYPERLINK("https://www.biblegateway.com/passage/?search=Philippians 1:18-27", "Philippians 1:18-27")</f>
        <v>Philippians 1:18-27</v>
      </c>
      <c r="W54" s="52" t="str">
        <f>HYPERLINK("https://www.biblegateway.com/passage/?search=Matthew 20:1-16", "Matthew 20:1-16")</f>
        <v>Matthew 20:1-16</v>
      </c>
      <c r="X54" s="54" t="str">
        <f>HYPERLINK("https://www.biblegateway.com/passage/?search=Psalm 16", "16")</f>
        <v>16</v>
      </c>
      <c r="Y54" s="57" t="s">
        <v>821</v>
      </c>
      <c r="Z54" s="39"/>
      <c r="AA54" s="47" t="s">
        <v>822</v>
      </c>
      <c r="AB54" s="180" t="s">
        <v>60</v>
      </c>
    </row>
    <row r="55" spans="1:28">
      <c r="A55" s="16">
        <f t="shared" si="13"/>
        <v>3</v>
      </c>
      <c r="B55" s="41">
        <f t="shared" si="15"/>
        <v>43023</v>
      </c>
      <c r="C55" s="210" t="s">
        <v>823</v>
      </c>
      <c r="D55" s="43" t="s">
        <v>63</v>
      </c>
      <c r="E55" s="43" t="s">
        <v>46</v>
      </c>
      <c r="F55" s="43" t="s">
        <v>824</v>
      </c>
      <c r="G55" s="44"/>
      <c r="H55" s="44" t="str">
        <f t="shared" si="14"/>
        <v/>
      </c>
      <c r="I55" s="43" t="s">
        <v>46</v>
      </c>
      <c r="J55" s="217" t="s">
        <v>804</v>
      </c>
      <c r="K55" s="43"/>
      <c r="L55" s="49" t="str">
        <f>HYPERLINK("https://drive.google.com/drive/folders/0B4o9FS6Fg-3eRDNfZkVlVkpTeEk","Service Notes")</f>
        <v>Service Notes</v>
      </c>
      <c r="M55" s="51"/>
      <c r="N55" s="43" t="s">
        <v>91</v>
      </c>
      <c r="O55" s="51"/>
      <c r="P55" s="51"/>
      <c r="Q55" s="43" t="s">
        <v>711</v>
      </c>
      <c r="R55" s="51"/>
      <c r="S55" s="60" t="str">
        <f>HYPERLINK("https://www.biblegateway.com/passage/?search=Philippians 2:1-11", "Philippians 2:1-11")</f>
        <v>Philippians 2:1-11</v>
      </c>
      <c r="T55" s="43"/>
      <c r="U55" s="52" t="str">
        <f>HYPERLINK("https://www.biblegateway.com/passage/?search=Ezekiel 18:1-4,25-32", "Ezekiel 18:1-4,25-32")</f>
        <v>Ezekiel 18:1-4,25-32</v>
      </c>
      <c r="V55" s="52" t="str">
        <f>HYPERLINK("https://www.biblegateway.com/passage/?search=Philippians 2:1-11", "Philippians 2:1-11")</f>
        <v>Philippians 2:1-11</v>
      </c>
      <c r="W55" s="52" t="str">
        <f>HYPERLINK("https://www.biblegateway.com/passage/?search=Matthew 21:28-32", "Matthew 21:28-32")</f>
        <v>Matthew 21:28-32</v>
      </c>
      <c r="X55" s="54" t="str">
        <f>HYPERLINK("https://www.biblegateway.com/passage/?search=Psalm 25", "25")</f>
        <v>25</v>
      </c>
      <c r="Y55" s="47" t="s">
        <v>827</v>
      </c>
      <c r="Z55" s="39"/>
      <c r="AA55" s="47" t="s">
        <v>828</v>
      </c>
      <c r="AB55" s="180" t="s">
        <v>336</v>
      </c>
    </row>
    <row r="56" spans="1:28">
      <c r="A56" s="16">
        <f t="shared" si="13"/>
        <v>4</v>
      </c>
      <c r="B56" s="41">
        <f t="shared" si="15"/>
        <v>43030</v>
      </c>
      <c r="C56" s="210" t="s">
        <v>829</v>
      </c>
      <c r="D56" s="43" t="s">
        <v>40</v>
      </c>
      <c r="E56" s="43" t="s">
        <v>46</v>
      </c>
      <c r="F56" s="43" t="s">
        <v>347</v>
      </c>
      <c r="G56" s="44"/>
      <c r="H56" s="44" t="str">
        <f t="shared" si="14"/>
        <v>X</v>
      </c>
      <c r="I56" s="43" t="s">
        <v>46</v>
      </c>
      <c r="J56" s="217" t="s">
        <v>804</v>
      </c>
      <c r="K56" s="51"/>
      <c r="L56" s="49" t="str">
        <f>HYPERLINK("https://drive.google.com/drive/folders/0B4o9FS6Fg-3eNUdFM3Z4bmhJbzg","Service Notes")</f>
        <v>Service Notes</v>
      </c>
      <c r="M56" s="51"/>
      <c r="N56" s="43" t="s">
        <v>105</v>
      </c>
      <c r="O56" s="43"/>
      <c r="P56" s="51"/>
      <c r="Q56" s="43" t="s">
        <v>716</v>
      </c>
      <c r="R56" s="51"/>
      <c r="S56" s="60" t="str">
        <f>HYPERLINK("https://www.biblegateway.com/passage/?search=Philippians 3:12-21", "Philippians 3:12-21")</f>
        <v>Philippians 3:12-21</v>
      </c>
      <c r="T56" s="43" t="s">
        <v>833</v>
      </c>
      <c r="U56" s="52" t="str">
        <f>HYPERLINK("https://www.biblegateway.com/passage/?search=Isaiah 5:1-7", "Isaiah 5:1-7")</f>
        <v>Isaiah 5:1-7</v>
      </c>
      <c r="V56" s="52" t="str">
        <f>HYPERLINK("https://www.biblegateway.com/passage/?search=Philippians 3:12-21", "Philippians 3:12-21")</f>
        <v>Philippians 3:12-21</v>
      </c>
      <c r="W56" s="52" t="str">
        <f>HYPERLINK("https://www.biblegateway.com/passage/?search=Matthew 21:33-43", "Matthew 21:33-43")</f>
        <v>Matthew 21:33-43</v>
      </c>
      <c r="X56" s="54" t="str">
        <f>HYPERLINK("https://www.biblegateway.com/passage/?search=Psalm 118", "118")</f>
        <v>118</v>
      </c>
      <c r="Y56" s="232" t="s">
        <v>836</v>
      </c>
      <c r="Z56" s="39"/>
      <c r="AA56" s="47" t="s">
        <v>837</v>
      </c>
      <c r="AB56" s="180" t="s">
        <v>336</v>
      </c>
    </row>
    <row r="57" spans="1:28">
      <c r="A57" s="16">
        <f t="shared" si="13"/>
        <v>5</v>
      </c>
      <c r="B57" s="41">
        <f t="shared" si="15"/>
        <v>43037</v>
      </c>
      <c r="C57" s="50" t="s">
        <v>838</v>
      </c>
      <c r="D57" s="43" t="s">
        <v>43</v>
      </c>
      <c r="E57" s="43" t="s">
        <v>46</v>
      </c>
      <c r="F57" s="43" t="s">
        <v>64</v>
      </c>
      <c r="G57" s="45"/>
      <c r="H57" s="45" t="str">
        <f t="shared" si="14"/>
        <v>X</v>
      </c>
      <c r="I57" s="43" t="s">
        <v>46</v>
      </c>
      <c r="J57" s="217" t="s">
        <v>804</v>
      </c>
      <c r="K57" s="51"/>
      <c r="L57" s="49" t="str">
        <f>HYPERLINK("https://drive.google.com/drive/u/0/folders/0B4o9FS6Fg-3eN0VVX3lFaVBOM3M","Service Notes")</f>
        <v>Service Notes</v>
      </c>
      <c r="M57" s="51"/>
      <c r="N57" s="43" t="s">
        <v>831</v>
      </c>
      <c r="O57" s="51"/>
      <c r="P57" s="51"/>
      <c r="Q57" s="161"/>
      <c r="R57" s="51"/>
      <c r="S57" s="52" t="str">
        <f>HYPERLINK("https://www.biblegateway.com/passage/?search=Philippians 4:4-13", "Philippians 4:4-13")</f>
        <v>Philippians 4:4-13</v>
      </c>
      <c r="T57" s="43"/>
      <c r="U57" s="52" t="str">
        <f>HYPERLINK("https://www.biblegateway.com/passage/?search=Isaiah 25:6-9", "Isaiah 25:6-9")</f>
        <v>Isaiah 25:6-9</v>
      </c>
      <c r="V57" s="60" t="str">
        <f>HYPERLINK("https://www.biblegateway.com/passage/?search=Philippians 4:4-13", "Philippians 4:4-13")</f>
        <v>Philippians 4:4-13</v>
      </c>
      <c r="W57" s="52" t="str">
        <f>HYPERLINK("https://www.biblegateway.com/passage/?search=Matthew 22:1-14", "Matthew 22:1-14")</f>
        <v>Matthew 22:1-14</v>
      </c>
      <c r="X57" s="54" t="str">
        <f>HYPERLINK("https://www.biblegateway.com/passage/?search=Psalm 23", "23")</f>
        <v>23</v>
      </c>
      <c r="Y57" s="171" t="s">
        <v>846</v>
      </c>
      <c r="Z57" s="39"/>
      <c r="AA57" s="47" t="s">
        <v>847</v>
      </c>
      <c r="AB57" s="180" t="s">
        <v>336</v>
      </c>
    </row>
    <row r="58" spans="1:28">
      <c r="A58" s="16">
        <f t="shared" si="13"/>
        <v>1</v>
      </c>
      <c r="B58" s="173">
        <f t="shared" si="15"/>
        <v>43044</v>
      </c>
      <c r="C58" s="174" t="s">
        <v>747</v>
      </c>
      <c r="D58" s="114" t="s">
        <v>46</v>
      </c>
      <c r="E58" s="114"/>
      <c r="F58" s="114" t="s">
        <v>44</v>
      </c>
      <c r="G58" s="115"/>
      <c r="H58" s="115" t="str">
        <f t="shared" si="14"/>
        <v/>
      </c>
      <c r="I58" s="114" t="s">
        <v>46</v>
      </c>
      <c r="J58" s="217" t="s">
        <v>804</v>
      </c>
      <c r="K58" s="114"/>
      <c r="L58" s="119" t="str">
        <f>HYPERLINK("https://drive.google.com/drive/u/0/folders/0B4o9FS6Fg-3ecm1HbktkZExucU0","Service Notes")</f>
        <v>Service Notes</v>
      </c>
      <c r="M58" s="113"/>
      <c r="N58" s="114" t="s">
        <v>91</v>
      </c>
      <c r="O58" s="113"/>
      <c r="P58" s="233"/>
      <c r="Q58" s="114" t="s">
        <v>792</v>
      </c>
      <c r="R58" s="113"/>
      <c r="S58" s="151" t="str">
        <f>HYPERLINK("https://www.biblegateway.com/passage/?search=Galatians 5:1-6", "Galatians 5:1-6")</f>
        <v>Galatians 5:1-6</v>
      </c>
      <c r="T58" s="114" t="s">
        <v>850</v>
      </c>
      <c r="U58" s="151" t="str">
        <f>HYPERLINK("https://www.biblegateway.com/passage/?search=Daniel 6:10-12, 16-23", "Daniel 6:10-12, 16-23")</f>
        <v>Daniel 6:10-12, 16-23</v>
      </c>
      <c r="V58" s="234" t="str">
        <f>HYPERLINK("https://www.biblegateway.com/passage/?search=Galatians 5:1-6", "Galatians 5:1-6")</f>
        <v>Galatians 5:1-6</v>
      </c>
      <c r="W58" s="151" t="str">
        <f>HYPERLINK("https://www.biblegateway.com/passage/?search=Matthew 10:16-23", "Matthew 10:16-23")</f>
        <v>Matthew 10:16-23</v>
      </c>
      <c r="X58" s="152" t="str">
        <f>HYPERLINK("https://www.biblegateway.com/passage/?search=Psalm 46", "46")</f>
        <v>46</v>
      </c>
      <c r="Y58" s="230" t="s">
        <v>853</v>
      </c>
      <c r="Z58" s="34"/>
      <c r="AA58" s="117"/>
      <c r="AB58" s="177" t="s">
        <v>336</v>
      </c>
    </row>
    <row r="59" spans="1:28">
      <c r="A59" s="16">
        <f t="shared" si="13"/>
        <v>2</v>
      </c>
      <c r="B59" s="173">
        <f t="shared" si="15"/>
        <v>43051</v>
      </c>
      <c r="C59" s="174" t="s">
        <v>758</v>
      </c>
      <c r="D59" s="114" t="s">
        <v>43</v>
      </c>
      <c r="E59" s="114" t="s">
        <v>46</v>
      </c>
      <c r="F59" s="114" t="s">
        <v>64</v>
      </c>
      <c r="G59" s="203"/>
      <c r="H59" s="203" t="str">
        <f t="shared" si="14"/>
        <v>X</v>
      </c>
      <c r="I59" s="114" t="s">
        <v>46</v>
      </c>
      <c r="J59" s="217" t="s">
        <v>804</v>
      </c>
      <c r="K59" s="114"/>
      <c r="L59" s="119" t="str">
        <f>HYPERLINK("https://drive.google.com/drive/u/0/folders/1yWy3Dium0XfatqCSeWyMhAfkz1yP6wKE","Service Notes")</f>
        <v>Service Notes</v>
      </c>
      <c r="M59" s="113"/>
      <c r="N59" s="114" t="s">
        <v>83</v>
      </c>
      <c r="O59" s="113"/>
      <c r="P59" s="113"/>
      <c r="Q59" s="114" t="s">
        <v>751</v>
      </c>
      <c r="R59" s="113"/>
      <c r="S59" s="151" t="str">
        <f>HYPERLINK("https://www.biblegateway.com/passage/?search=Daniel 7:9-10", "Daniel 7:9-10")</f>
        <v>Daniel 7:9-10</v>
      </c>
      <c r="T59" s="114" t="s">
        <v>855</v>
      </c>
      <c r="U59" s="151" t="str">
        <f>HYPERLINK("https://www.biblegateway.com/passage/?search=Daniel 7:9-10", "Daniel 7:9-10")</f>
        <v>Daniel 7:9-10</v>
      </c>
      <c r="V59" s="234" t="str">
        <f>HYPERLINK("https://www.biblegateway.com/passage/?search=1 Thessalonians 5:1-11", "1 Thessalonians 5:1-11")</f>
        <v>1 Thessalonians 5:1-11</v>
      </c>
      <c r="W59" s="151" t="str">
        <f>HYPERLINK("https://www.biblegateway.com/passage/?search=Matthew 25:31-46", "Matthew 25:31-46")</f>
        <v>Matthew 25:31-46</v>
      </c>
      <c r="X59" s="152" t="str">
        <f>HYPERLINK("https://www.biblegateway.com/passage/?search=Psalm 90", "90")</f>
        <v>90</v>
      </c>
      <c r="Y59" s="215" t="s">
        <v>857</v>
      </c>
      <c r="Z59" s="34"/>
      <c r="AA59" s="117"/>
      <c r="AB59" s="177" t="s">
        <v>60</v>
      </c>
    </row>
    <row r="60" spans="1:28">
      <c r="A60" s="16">
        <f t="shared" si="13"/>
        <v>3</v>
      </c>
      <c r="B60" s="37">
        <f t="shared" si="15"/>
        <v>43058</v>
      </c>
      <c r="C60" s="21" t="s">
        <v>769</v>
      </c>
      <c r="D60" s="20" t="s">
        <v>43</v>
      </c>
      <c r="E60" s="20" t="s">
        <v>43</v>
      </c>
      <c r="F60" s="20" t="s">
        <v>64</v>
      </c>
      <c r="G60" s="22"/>
      <c r="H60" s="22" t="str">
        <f t="shared" si="14"/>
        <v/>
      </c>
      <c r="I60" s="122" t="s">
        <v>46</v>
      </c>
      <c r="J60" s="217" t="s">
        <v>804</v>
      </c>
      <c r="K60" s="20"/>
      <c r="L60" s="28" t="str">
        <f>HYPERLINK("https://drive.google.com/drive/u/0/folders/0B4o9FS6Fg-3eMUJ5ZVI2SUJBUVk","Service Notes")</f>
        <v>Service Notes</v>
      </c>
      <c r="M60" s="25"/>
      <c r="N60" s="20" t="s">
        <v>91</v>
      </c>
      <c r="O60" s="25"/>
      <c r="P60" s="25"/>
      <c r="Q60" s="20" t="s">
        <v>761</v>
      </c>
      <c r="R60" s="25"/>
      <c r="S60" s="31" t="str">
        <f>HYPERLINK("https://www.biblegateway.com/passage/?search=Matthew 25:1-13", "Matthew 25:1-13")</f>
        <v>Matthew 25:1-13</v>
      </c>
      <c r="T60" s="20" t="s">
        <v>860</v>
      </c>
      <c r="U60" s="81" t="str">
        <f>HYPERLINK("https://www.biblegateway.com/passage/?search=Isaiah 52:1-6", "Isaiah 52:1-6")</f>
        <v>Isaiah 52:1-6</v>
      </c>
      <c r="V60" s="81" t="str">
        <f>HYPERLINK("https://www.biblegateway.com/passage/?search=1 Thessalonians 4:13-18", "1 Thessalonians 4:13-18")</f>
        <v>1 Thessalonians 4:13-18</v>
      </c>
      <c r="W60" s="31" t="str">
        <f>HYPERLINK("https://www.biblegateway.com/passage/?search=Matthew 25:1-13", "Matthew 25:1-13")</f>
        <v>Matthew 25:1-13</v>
      </c>
      <c r="X60" s="32" t="str">
        <f>HYPERLINK("https://www.biblegateway.com/passage/?search=Psalm 84", "84")</f>
        <v>84</v>
      </c>
      <c r="Y60" s="237" t="s">
        <v>863</v>
      </c>
      <c r="Z60" s="34"/>
      <c r="AA60" s="33" t="s">
        <v>864</v>
      </c>
      <c r="AB60" s="172" t="s">
        <v>60</v>
      </c>
    </row>
    <row r="61" spans="1:28">
      <c r="A61" s="16"/>
      <c r="B61" s="17">
        <v>43058</v>
      </c>
      <c r="C61" s="21" t="s">
        <v>865</v>
      </c>
      <c r="D61" s="20" t="s">
        <v>866</v>
      </c>
      <c r="E61" s="20" t="s">
        <v>43</v>
      </c>
      <c r="F61" s="20" t="s">
        <v>64</v>
      </c>
      <c r="G61" s="22"/>
      <c r="H61" s="22"/>
      <c r="I61" s="27"/>
      <c r="J61" s="27"/>
      <c r="K61" s="25"/>
      <c r="L61" s="25"/>
      <c r="M61" s="25"/>
      <c r="N61" s="20"/>
      <c r="O61" s="25"/>
      <c r="P61" s="25"/>
      <c r="Q61" s="20"/>
      <c r="R61" s="25"/>
      <c r="S61" s="20"/>
      <c r="T61" s="20"/>
      <c r="U61" s="81"/>
      <c r="V61" s="20"/>
      <c r="W61" s="20"/>
      <c r="X61" s="22"/>
      <c r="Z61" s="34"/>
      <c r="AA61" s="33" t="s">
        <v>867</v>
      </c>
      <c r="AB61" s="172" t="s">
        <v>681</v>
      </c>
    </row>
    <row r="62" spans="1:28">
      <c r="A62" s="16">
        <f t="shared" ref="A62:A70" si="16">WEEKNUM(B62,2)-WEEKNUM(DATE(YEAR(B62),MONTH(B62),1),2)+1</f>
        <v>4</v>
      </c>
      <c r="B62" s="17">
        <f>B60+3</f>
        <v>43061</v>
      </c>
      <c r="C62" s="21" t="s">
        <v>780</v>
      </c>
      <c r="D62" s="20" t="s">
        <v>46</v>
      </c>
      <c r="E62" s="20" t="s">
        <v>46</v>
      </c>
      <c r="F62" s="20" t="s">
        <v>44</v>
      </c>
      <c r="G62" s="22"/>
      <c r="H62" s="22"/>
      <c r="I62" s="27"/>
      <c r="J62" s="27"/>
      <c r="K62" s="25"/>
      <c r="L62" s="28" t="str">
        <f>HYPERLINK("https://drive.google.com/drive/folders/1-V-Hsm92165-8dtrwDcLqmn5mgg_J9HI","Service Notes")</f>
        <v>Service Notes</v>
      </c>
      <c r="M62" s="25"/>
      <c r="N62" s="20" t="s">
        <v>337</v>
      </c>
      <c r="O62" s="25"/>
      <c r="P62" s="25"/>
      <c r="Q62" s="25"/>
      <c r="R62" s="25"/>
      <c r="S62" s="31" t="str">
        <f t="shared" ref="S62:S63" si="17">HYPERLINK("https://www.biblegateway.com/passage/?search=Deuteronomy 8:10-18", "Deuteronomy 8:10-18")</f>
        <v>Deuteronomy 8:10-18</v>
      </c>
      <c r="T62" s="20" t="s">
        <v>875</v>
      </c>
      <c r="U62" s="20" t="s">
        <v>878</v>
      </c>
      <c r="V62" s="20" t="s">
        <v>880</v>
      </c>
      <c r="W62" s="20" t="s">
        <v>881</v>
      </c>
      <c r="X62" s="32" t="str">
        <f t="shared" ref="X62:X63" si="18">HYPERLINK("https://www.biblegateway.com/passage/?search=Psalm 100", "100")</f>
        <v>100</v>
      </c>
      <c r="Z62" s="34"/>
      <c r="AA62" s="33" t="s">
        <v>165</v>
      </c>
      <c r="AB62" s="172" t="s">
        <v>681</v>
      </c>
    </row>
    <row r="63" spans="1:28">
      <c r="A63" s="16">
        <f t="shared" si="16"/>
        <v>4</v>
      </c>
      <c r="B63" s="17">
        <f>B62+1</f>
        <v>43062</v>
      </c>
      <c r="C63" s="21" t="s">
        <v>780</v>
      </c>
      <c r="D63" s="235" t="s">
        <v>886</v>
      </c>
      <c r="E63" s="235" t="s">
        <v>886</v>
      </c>
      <c r="F63" s="20" t="s">
        <v>44</v>
      </c>
      <c r="G63" s="22"/>
      <c r="H63" s="22"/>
      <c r="I63" s="27"/>
      <c r="J63" s="27"/>
      <c r="K63" s="25"/>
      <c r="L63" s="25"/>
      <c r="M63" s="25"/>
      <c r="N63" s="20" t="s">
        <v>337</v>
      </c>
      <c r="O63" s="25"/>
      <c r="P63" s="25"/>
      <c r="Q63" s="25"/>
      <c r="R63" s="25"/>
      <c r="S63" s="31" t="str">
        <f t="shared" si="17"/>
        <v>Deuteronomy 8:10-18</v>
      </c>
      <c r="T63" s="20" t="s">
        <v>875</v>
      </c>
      <c r="U63" s="31" t="str">
        <f>HYPERLINK("https://www.biblegateway.com/passage/?search=Deuteronomy 8:10-18", "Deuteronomy 8:10-18")</f>
        <v>Deuteronomy 8:10-18</v>
      </c>
      <c r="V63" s="31" t="str">
        <f>HYPERLINK("https://www.biblegateway.com/passage/?search=Philippians 4:10-20", "Philippians 4:10-20")</f>
        <v>Philippians 4:10-20</v>
      </c>
      <c r="W63" s="31" t="str">
        <f>HYPERLINK("https://www.biblegateway.com/passage/?search=Luke 17:11-19", "Luke 17:11-19")</f>
        <v>Luke 17:11-19</v>
      </c>
      <c r="X63" s="32" t="str">
        <f t="shared" si="18"/>
        <v>100</v>
      </c>
      <c r="Z63" s="34"/>
      <c r="AA63" s="26"/>
      <c r="AB63" s="172" t="s">
        <v>681</v>
      </c>
    </row>
    <row r="64" spans="1:28">
      <c r="A64" s="16">
        <f t="shared" si="16"/>
        <v>4</v>
      </c>
      <c r="B64" s="37">
        <f>B60+7</f>
        <v>43065</v>
      </c>
      <c r="C64" s="21" t="s">
        <v>795</v>
      </c>
      <c r="D64" s="20" t="s">
        <v>43</v>
      </c>
      <c r="E64" s="20" t="s">
        <v>46</v>
      </c>
      <c r="F64" s="20" t="s">
        <v>44</v>
      </c>
      <c r="G64" s="22"/>
      <c r="H64" s="22" t="str">
        <f t="shared" ref="H64:H65" si="19">IF(OR(A64=2,A64=4,A64=5),"X","")</f>
        <v>X</v>
      </c>
      <c r="I64" s="20" t="s">
        <v>46</v>
      </c>
      <c r="J64" s="213" t="s">
        <v>804</v>
      </c>
      <c r="K64" s="20"/>
      <c r="L64" s="28" t="str">
        <f>HYPERLINK("https://drive.google.com/drive/folders/1OziDAKglzvNa4Rka08_Z7Eh7mCvzxPKV","Service Notes")</f>
        <v>Service Notes</v>
      </c>
      <c r="M64" s="40"/>
      <c r="N64" s="20" t="s">
        <v>105</v>
      </c>
      <c r="O64" s="25"/>
      <c r="P64" s="25"/>
      <c r="Q64" s="20" t="s">
        <v>771</v>
      </c>
      <c r="R64" s="25"/>
      <c r="S64" s="31" t="str">
        <f>HYPERLINK("https://www.biblegateway.com/passage/?search=1 Corinthians 15:20-28", "1 Corinthians 15:20-28")</f>
        <v>1 Corinthians 15:20-28</v>
      </c>
      <c r="T64" s="20"/>
      <c r="U64" s="31" t="str">
        <f>HYPERLINK("https://www.biblegateway.com/passage/?search=Ezekiel 34:11-16, 23, 24", "Ezekiel 34:11-16, 23, 24")</f>
        <v>Ezekiel 34:11-16, 23, 24</v>
      </c>
      <c r="V64" s="31" t="str">
        <f>HYPERLINK("https://www.biblegateway.com/passage/?search=1 Corinthians 15:20-28", "1 Corinthians 15:20-28")</f>
        <v>1 Corinthians 15:20-28</v>
      </c>
      <c r="W64" s="31" t="str">
        <f>HYPERLINK("https://www.biblegateway.com/passage/?search=Matthew 27:27-31", "Matthew 27:27-31")</f>
        <v>Matthew 27:27-31</v>
      </c>
      <c r="X64" s="32" t="str">
        <f>HYPERLINK("https://www.biblegateway.com/passage/?search=Psalm 47", "47")</f>
        <v>47</v>
      </c>
      <c r="Y64" s="33" t="s">
        <v>902</v>
      </c>
      <c r="Z64" s="34"/>
      <c r="AA64" s="33" t="s">
        <v>376</v>
      </c>
      <c r="AB64" s="172" t="s">
        <v>44</v>
      </c>
    </row>
    <row r="65" spans="1:28">
      <c r="A65" s="16">
        <f t="shared" si="16"/>
        <v>1</v>
      </c>
      <c r="B65" s="216">
        <f>B64+7</f>
        <v>43072</v>
      </c>
      <c r="C65" s="247" t="s">
        <v>903</v>
      </c>
      <c r="D65" s="218" t="s">
        <v>63</v>
      </c>
      <c r="E65" s="218" t="s">
        <v>43</v>
      </c>
      <c r="F65" s="218" t="s">
        <v>64</v>
      </c>
      <c r="G65" s="219"/>
      <c r="H65" s="219" t="str">
        <f t="shared" si="19"/>
        <v/>
      </c>
      <c r="I65" s="218" t="s">
        <v>904</v>
      </c>
      <c r="J65" s="250" t="s">
        <v>905</v>
      </c>
      <c r="K65" s="223"/>
      <c r="L65" s="226" t="str">
        <f>HYPERLINK("https://drive.google.com/drive/folders/10UmahhZdgWcjZZHgDZHmr3WqMvKCigWV","Service Notes")</f>
        <v>Service Notes</v>
      </c>
      <c r="M65" s="222"/>
      <c r="N65" s="218" t="s">
        <v>91</v>
      </c>
      <c r="O65" s="218"/>
      <c r="P65" s="223"/>
      <c r="Q65" s="218" t="s">
        <v>797</v>
      </c>
      <c r="R65" s="223"/>
      <c r="S65" s="225" t="str">
        <f>HYPERLINK("https://www.biblegateway.com/passage/?search=Genesis 6:1-3,5-14,17-22", "Genesis 6:1-3,5-14,17-22")</f>
        <v>Genesis 6:1-3,5-14,17-22</v>
      </c>
      <c r="T65" s="218"/>
      <c r="U65" s="225" t="str">
        <f>HYPERLINK("https://www.biblegateway.com/passage/?search=Genesis 6:1-3,5-14,17-22", "Genesis 6:1-3,5-14,17-22")</f>
        <v>Genesis 6:1-3,5-14,17-22</v>
      </c>
      <c r="V65" s="225" t="str">
        <f>HYPERLINK("https://www.biblegateway.com/passage/?search=1 Corinthians 1:3-9", "1 Corinthians 1:3-9")</f>
        <v>1 Corinthians 1:3-9</v>
      </c>
      <c r="W65" s="225" t="str">
        <f>HYPERLINK("https://www.biblegateway.com/passage/?search=Mark 13:32-37", "Mark 13:32-37")</f>
        <v>Mark 13:32-37</v>
      </c>
      <c r="X65" s="227" t="str">
        <f>HYPERLINK("https://www.biblegateway.com/passage/?search=Psalm 24", "24")</f>
        <v>24</v>
      </c>
      <c r="Y65" s="252" t="s">
        <v>909</v>
      </c>
      <c r="Z65" s="34"/>
      <c r="AA65" s="228" t="s">
        <v>152</v>
      </c>
      <c r="AB65" s="253" t="s">
        <v>60</v>
      </c>
    </row>
    <row r="66" spans="1:28">
      <c r="A66" s="16">
        <f t="shared" si="16"/>
        <v>2</v>
      </c>
      <c r="B66" s="229">
        <f>B65+3</f>
        <v>43075</v>
      </c>
      <c r="C66" s="247" t="s">
        <v>834</v>
      </c>
      <c r="D66" s="218" t="s">
        <v>40</v>
      </c>
      <c r="E66" s="218" t="s">
        <v>40</v>
      </c>
      <c r="F66" s="218" t="s">
        <v>44</v>
      </c>
      <c r="G66" s="220"/>
      <c r="H66" s="220"/>
      <c r="I66" s="218"/>
      <c r="J66" s="218"/>
      <c r="K66" s="223"/>
      <c r="L66" s="226" t="str">
        <f>HYPERLINK("https://drive.google.com/drive/u/0/folders/10Pt7dU2B4AuDrhu-Awy5WivJnFQMu39t","Service Notes")</f>
        <v>Service Notes</v>
      </c>
      <c r="M66" s="223"/>
      <c r="N66" s="218" t="s">
        <v>912</v>
      </c>
      <c r="O66" s="223"/>
      <c r="P66" s="223"/>
      <c r="Q66" s="223"/>
      <c r="R66" s="223"/>
      <c r="S66" s="225" t="str">
        <f>HYPERLINK("https://www.biblegateway.com/passage/?search=Luke 1:57-79", "Luke 1:57-79")</f>
        <v>Luke 1:57-79</v>
      </c>
      <c r="T66" s="218" t="s">
        <v>913</v>
      </c>
      <c r="U66" s="225" t="str">
        <f>HYPERLINK("https://www.biblegateway.com/passage/?search=Mal 2:17-3:5", "Mal 2:17-3:5")</f>
        <v>Mal 2:17-3:5</v>
      </c>
      <c r="V66" s="225" t="str">
        <f>HYPERLINK("https://www.biblegateway.com/passage/?search=", "")</f>
        <v/>
      </c>
      <c r="W66" s="225" t="str">
        <f>HYPERLINK("https://www.biblegateway.com/passage/?search=Luke 1:5-25", "Luke 1:5-25")</f>
        <v>Luke 1:5-25</v>
      </c>
      <c r="X66" s="227" t="str">
        <f>HYPERLINK("https://www.biblegateway.com/passage/?search=Psalm none", "none")</f>
        <v>none</v>
      </c>
      <c r="Y66" s="228" t="s">
        <v>918</v>
      </c>
      <c r="Z66" s="34"/>
      <c r="AA66" s="228" t="s">
        <v>919</v>
      </c>
      <c r="AB66" s="253" t="s">
        <v>60</v>
      </c>
    </row>
    <row r="67" spans="1:28">
      <c r="A67" s="16">
        <f t="shared" si="16"/>
        <v>2</v>
      </c>
      <c r="B67" s="216">
        <f>B65+7</f>
        <v>43079</v>
      </c>
      <c r="C67" s="247" t="s">
        <v>921</v>
      </c>
      <c r="D67" s="218" t="s">
        <v>922</v>
      </c>
      <c r="E67" s="218" t="s">
        <v>46</v>
      </c>
      <c r="F67" s="218" t="s">
        <v>614</v>
      </c>
      <c r="G67" s="220"/>
      <c r="H67" s="220" t="str">
        <f t="shared" ref="H67:H69" si="20">IF(OR(A67=2,A67=4,A67=5),"X","")</f>
        <v>X</v>
      </c>
      <c r="I67" s="218" t="s">
        <v>904</v>
      </c>
      <c r="J67" s="250" t="s">
        <v>905</v>
      </c>
      <c r="K67" s="223"/>
      <c r="L67" s="226" t="str">
        <f>HYPERLINK("https://docs.google.com/document/d/1LgzcvqFNOFOQzl5uFEShsyveXHBT5YI0fH6Sc9GJrcQ/edit#","Service Notes")</f>
        <v>Service Notes</v>
      </c>
      <c r="M67" s="223"/>
      <c r="N67" s="218" t="s">
        <v>595</v>
      </c>
      <c r="O67" s="223"/>
      <c r="P67" s="223"/>
      <c r="Q67" s="218" t="s">
        <v>825</v>
      </c>
      <c r="R67" s="223"/>
      <c r="S67" s="225" t="str">
        <f>HYPERLINK("https://www.biblegateway.com/passage/?search=2 Peter 3:8-14", "2 Peter 3:8-14")</f>
        <v>2 Peter 3:8-14</v>
      </c>
      <c r="T67" s="225" t="str">
        <f>HYPERLINK("https://www.biblegateway.com/passage/?search=Another day of grace", "Another day of grace")</f>
        <v>Another day of grace</v>
      </c>
      <c r="U67" s="218" t="s">
        <v>926</v>
      </c>
      <c r="V67" s="225" t="str">
        <f>HYPERLINK("https://www.biblegateway.com/passage/?search=2 Peter 3:8-14", "2 Peter 3:8-14")</f>
        <v>2 Peter 3:8-14</v>
      </c>
      <c r="W67" s="225" t="str">
        <f>HYPERLINK("https://www.biblegateway.com/passage/?search=Mark 1:1-8", "Mark 1:1-8")</f>
        <v>Mark 1:1-8</v>
      </c>
      <c r="X67" s="227" t="str">
        <f>HYPERLINK("https://www.biblegateway.com/passage/?search=Psalm 85", "85")</f>
        <v>85</v>
      </c>
      <c r="Y67" s="228" t="s">
        <v>932</v>
      </c>
      <c r="Z67" s="34"/>
      <c r="AA67" s="228" t="s">
        <v>934</v>
      </c>
      <c r="AB67" s="253" t="s">
        <v>60</v>
      </c>
    </row>
    <row r="68" spans="1:28">
      <c r="A68" s="16">
        <f t="shared" si="16"/>
        <v>3</v>
      </c>
      <c r="B68" s="229">
        <f>B67+3</f>
        <v>43082</v>
      </c>
      <c r="C68" s="247" t="s">
        <v>848</v>
      </c>
      <c r="D68" s="218" t="s">
        <v>46</v>
      </c>
      <c r="E68" s="218" t="s">
        <v>46</v>
      </c>
      <c r="F68" s="218" t="s">
        <v>64</v>
      </c>
      <c r="G68" s="219"/>
      <c r="H68" s="219" t="str">
        <f t="shared" si="20"/>
        <v/>
      </c>
      <c r="I68" s="218"/>
      <c r="J68" s="218"/>
      <c r="K68" s="223"/>
      <c r="L68" s="226" t="str">
        <f>HYPERLINK("https://docs.google.com/document/d/1ry-mqZrHYM9hv4_EYscmNUIPXeFNzFMlhLR62_0X8oE/edit","Service Notes")</f>
        <v>Service Notes</v>
      </c>
      <c r="M68" s="257"/>
      <c r="N68" s="218" t="s">
        <v>912</v>
      </c>
      <c r="O68" s="223"/>
      <c r="P68" s="223"/>
      <c r="Q68" s="223"/>
      <c r="R68" s="223"/>
      <c r="S68" s="225" t="str">
        <f>HYPERLINK("https://www.biblegateway.com/passage/?search=Luke 1:39-55", "Luke 1:39-55")</f>
        <v>Luke 1:39-55</v>
      </c>
      <c r="T68" s="225" t="str">
        <f>HYPERLINK("https://www.biblegateway.com/passage/?search=My soul magnifies the Lord", "My soul magnifies the Lord")</f>
        <v>My soul magnifies the Lord</v>
      </c>
      <c r="U68" s="225" t="str">
        <f>HYPERLINK("https://www.biblegateway.com/passage/?search=Is 7:10-14", "Is 7:10-14")</f>
        <v>Is 7:10-14</v>
      </c>
      <c r="V68" s="223"/>
      <c r="W68" s="225" t="str">
        <f>HYPERLINK("https://www.biblegateway.com/passage/?search=Luke 1:26-38", "Luke 1:26-38")</f>
        <v>Luke 1:26-38</v>
      </c>
      <c r="X68" s="227" t="str">
        <f>HYPERLINK("https://www.biblegateway.com/passage/?search=Psalm none", "none")</f>
        <v>none</v>
      </c>
      <c r="Y68" s="228" t="s">
        <v>939</v>
      </c>
      <c r="Z68" s="34"/>
      <c r="AA68" s="259" t="s">
        <v>940</v>
      </c>
      <c r="AB68" s="253" t="s">
        <v>40</v>
      </c>
    </row>
    <row r="69" spans="1:28">
      <c r="A69" s="16">
        <f t="shared" si="16"/>
        <v>3</v>
      </c>
      <c r="B69" s="216">
        <f>B67+7</f>
        <v>43086</v>
      </c>
      <c r="C69" s="247" t="s">
        <v>942</v>
      </c>
      <c r="D69" s="218" t="s">
        <v>43</v>
      </c>
      <c r="E69" s="218" t="s">
        <v>43</v>
      </c>
      <c r="F69" s="218" t="s">
        <v>44</v>
      </c>
      <c r="G69" s="219"/>
      <c r="H69" s="219" t="str">
        <f t="shared" si="20"/>
        <v/>
      </c>
      <c r="I69" s="218" t="s">
        <v>904</v>
      </c>
      <c r="J69" s="250" t="s">
        <v>905</v>
      </c>
      <c r="K69" s="218"/>
      <c r="L69" s="226" t="str">
        <f>HYPERLINK("https://docs.google.com/document/d/1jYn6muxoLxcijWRfRSqvFSH7JmtQrHzWgBTMTTcm7m0/edit","Service Notes")</f>
        <v>Service Notes</v>
      </c>
      <c r="M69" s="223"/>
      <c r="N69" s="218" t="s">
        <v>91</v>
      </c>
      <c r="O69" s="223"/>
      <c r="P69" s="223"/>
      <c r="Q69" s="218" t="s">
        <v>843</v>
      </c>
      <c r="R69" s="223"/>
      <c r="S69" s="225" t="str">
        <f>HYPERLINK("https://www.biblegateway.com/passage/?search=John 1:6-8,19-28", "John 1:6-8,19-28")</f>
        <v>John 1:6-8,19-28</v>
      </c>
      <c r="T69" s="260" t="str">
        <f>HYPERLINK("https://www.biblegateway.com/passage/?search=You go through John to get to Jesus", "You go through John to get to Jesus")</f>
        <v>You go through John to get to Jesus</v>
      </c>
      <c r="U69" s="225" t="str">
        <f>HYPERLINK("https://www.biblegateway.com/passage/?search=Is 61:1-3,10-11", "Is 61:1-3,10-11")</f>
        <v>Is 61:1-3,10-11</v>
      </c>
      <c r="V69" s="225" t="str">
        <f>HYPERLINK("https://www.biblegateway.com/passage/?search=1 Thessalonians 5:16-24", "1 Thessalonians 5:16-24")</f>
        <v>1 Thessalonians 5:16-24</v>
      </c>
      <c r="W69" s="225" t="str">
        <f>HYPERLINK("https://www.biblegateway.com/passage/?search=John 1:6-8,19-28", "John 1:6-8,19-28")</f>
        <v>John 1:6-8,19-28</v>
      </c>
      <c r="X69" s="227" t="str">
        <f>HYPERLINK("https://www.biblegateway.com/passage/?search=Psalm 71", "71")</f>
        <v>71</v>
      </c>
      <c r="Y69" s="228" t="s">
        <v>948</v>
      </c>
      <c r="Z69" s="34"/>
      <c r="AA69" s="228" t="s">
        <v>949</v>
      </c>
      <c r="AB69" s="253" t="s">
        <v>44</v>
      </c>
    </row>
    <row r="70" spans="1:28">
      <c r="A70" s="16">
        <f t="shared" si="16"/>
        <v>4</v>
      </c>
      <c r="B70" s="229">
        <f>B69+3</f>
        <v>43089</v>
      </c>
      <c r="C70" s="247" t="s">
        <v>858</v>
      </c>
      <c r="D70" s="218" t="s">
        <v>43</v>
      </c>
      <c r="E70" s="218" t="s">
        <v>43</v>
      </c>
      <c r="F70" s="218" t="s">
        <v>90</v>
      </c>
      <c r="G70" s="220"/>
      <c r="H70" s="220"/>
      <c r="I70" s="218"/>
      <c r="J70" s="218"/>
      <c r="K70" s="223"/>
      <c r="L70" s="226" t="str">
        <f>HYPERLINK("https://drive.google.com/drive/folders/1Ae4j_K8UAzCaApPacR7xrDZo0O9ei9ob","Service Notes")</f>
        <v>Service Notes</v>
      </c>
      <c r="M70" s="222"/>
      <c r="N70" s="218" t="s">
        <v>912</v>
      </c>
      <c r="O70" s="223"/>
      <c r="P70" s="223"/>
      <c r="Q70" s="223"/>
      <c r="R70" s="223"/>
      <c r="S70" s="225" t="str">
        <f>HYPERLINK("https://www.biblegateway.com/passage/?search=Luke 2:29-32", "Luke 2:29-32")</f>
        <v>Luke 2:29-32</v>
      </c>
      <c r="T70" s="261" t="str">
        <f>HYPERLINK("https://www.biblegateway.com/passage/?search=", "")</f>
        <v/>
      </c>
      <c r="U70" s="225" t="str">
        <f>HYPERLINK("https://www.biblegateway.com/passage/?search=Is 9:1-7", "Is 9:1-7")</f>
        <v>Is 9:1-7</v>
      </c>
      <c r="V70" s="262"/>
      <c r="W70" s="225" t="str">
        <f>HYPERLINK("https://www.biblegateway.com/passage/?search=Luke 2:21-35", "Luke 2:21-35")</f>
        <v>Luke 2:21-35</v>
      </c>
      <c r="X70" s="227" t="str">
        <f>HYPERLINK("https://www.biblegateway.com/passage/?search=Psalm none", "none")</f>
        <v>none</v>
      </c>
      <c r="Y70" s="263">
        <v>42985</v>
      </c>
      <c r="Z70" s="34"/>
      <c r="AA70" s="228"/>
      <c r="AB70" s="253" t="s">
        <v>40</v>
      </c>
    </row>
    <row r="71" spans="1:28">
      <c r="A71" s="16"/>
      <c r="B71" s="229">
        <v>43093</v>
      </c>
      <c r="C71" s="247" t="s">
        <v>951</v>
      </c>
      <c r="D71" s="58" t="s">
        <v>952</v>
      </c>
      <c r="E71" s="27"/>
      <c r="F71" s="27"/>
      <c r="G71" s="264"/>
      <c r="H71" s="264"/>
      <c r="I71" s="27"/>
      <c r="J71" s="27"/>
      <c r="K71" s="223"/>
      <c r="L71" s="218" t="s">
        <v>953</v>
      </c>
      <c r="M71" s="223"/>
      <c r="N71" s="218"/>
      <c r="O71" s="223"/>
      <c r="P71" s="223"/>
      <c r="Q71" s="218"/>
      <c r="R71" s="223"/>
      <c r="S71" s="225" t="str">
        <f>HYPERLINK("https://www.biblegateway.com/passage/?search=2 Sam 7:8-16", "2 Sam 7:8-16")</f>
        <v>2 Sam 7:8-16</v>
      </c>
      <c r="T71" s="223"/>
      <c r="U71" s="225" t="str">
        <f>HYPERLINK("https://www.biblegateway.com/passage/?search=2 Sam 7:8-16", "2 Sam 7:8-16")</f>
        <v>2 Sam 7:8-16</v>
      </c>
      <c r="V71" s="225" t="str">
        <f>HYPERLINK("https://www.biblegateway.com/passage/?search=Romans 16:25-27", "Romans 16:25-27")</f>
        <v>Romans 16:25-27</v>
      </c>
      <c r="W71" s="225" t="str">
        <f>HYPERLINK("https://www.biblegateway.com/passage/?search=Luke 1:26-38", "Luke 1:26-38")</f>
        <v>Luke 1:26-38</v>
      </c>
      <c r="X71" s="227" t="str">
        <f>HYPERLINK("https://www.biblegateway.com/passage/?search=Psalm 89", "89")</f>
        <v>89</v>
      </c>
      <c r="Y71" s="228"/>
      <c r="Z71" s="221"/>
      <c r="AA71" s="221"/>
      <c r="AB71" s="265"/>
    </row>
    <row r="72" spans="1:28">
      <c r="A72" s="16">
        <f t="shared" ref="A72:A76" si="21">WEEKNUM(B72,2)-WEEKNUM(DATE(YEAR(B72),MONTH(B72),1),2)+1</f>
        <v>4</v>
      </c>
      <c r="B72" s="216">
        <f>B69+7</f>
        <v>43093</v>
      </c>
      <c r="C72" s="247" t="s">
        <v>935</v>
      </c>
      <c r="D72" s="255" t="s">
        <v>929</v>
      </c>
      <c r="E72" s="218" t="s">
        <v>40</v>
      </c>
      <c r="F72" s="218"/>
      <c r="G72" s="220"/>
      <c r="H72" s="220"/>
      <c r="I72" s="27"/>
      <c r="J72" s="27"/>
      <c r="K72" s="223"/>
      <c r="L72" s="226" t="str">
        <f>HYPERLINK("https://drive.google.com/drive/u/0/folders/1QMSLkvrY8xBoNxrAIzEtspfbCtfB0s9X","Service Notes")</f>
        <v>Service Notes</v>
      </c>
      <c r="M72" s="223"/>
      <c r="N72" s="218" t="s">
        <v>954</v>
      </c>
      <c r="O72" s="223"/>
      <c r="P72" s="223"/>
      <c r="Q72" s="218" t="s">
        <v>852</v>
      </c>
      <c r="R72" s="223"/>
      <c r="S72" s="255" t="s">
        <v>955</v>
      </c>
      <c r="T72" s="223"/>
      <c r="U72" s="223"/>
      <c r="V72" s="223"/>
      <c r="W72" s="223"/>
      <c r="X72" s="220"/>
      <c r="Y72" s="228" t="s">
        <v>956</v>
      </c>
      <c r="Z72" s="34"/>
      <c r="AA72" s="228" t="s">
        <v>957</v>
      </c>
      <c r="AB72" s="253" t="s">
        <v>60</v>
      </c>
    </row>
    <row r="73" spans="1:28">
      <c r="A73" s="16">
        <f t="shared" si="21"/>
        <v>4</v>
      </c>
      <c r="B73" s="229">
        <v>43093</v>
      </c>
      <c r="C73" s="247" t="s">
        <v>871</v>
      </c>
      <c r="D73" s="218" t="s">
        <v>43</v>
      </c>
      <c r="E73" s="218" t="s">
        <v>43</v>
      </c>
      <c r="F73" s="218"/>
      <c r="G73" s="220"/>
      <c r="H73" s="220"/>
      <c r="I73" s="27"/>
      <c r="J73" s="27"/>
      <c r="K73" s="223"/>
      <c r="L73" s="226" t="str">
        <f>HYPERLINK("https://drive.google.com/drive/u/0/folders/1XkypZB1OCu21_xyLHzBmHF67SaxBrzy1","Service Notes")</f>
        <v>Service Notes</v>
      </c>
      <c r="M73" s="223"/>
      <c r="N73" s="218" t="s">
        <v>958</v>
      </c>
      <c r="O73" s="223"/>
      <c r="P73" s="223"/>
      <c r="Q73" s="218" t="s">
        <v>873</v>
      </c>
      <c r="R73" s="223"/>
      <c r="S73" s="225" t="str">
        <f>HYPERLINK("https://www.biblegateway.com/passage/?search=Luke 2:8-20", "Luke 2:8-20")</f>
        <v>Luke 2:8-20</v>
      </c>
      <c r="T73" s="218"/>
      <c r="U73" s="225" t="str">
        <f>HYPERLINK("https://www.biblegateway.com/passage/?search=Isaiah 9:2-7", "Isaiah 9:2-7")</f>
        <v>Isaiah 9:2-7</v>
      </c>
      <c r="V73" s="225" t="str">
        <f>HYPERLINK("https://www.biblegateway.com/passage/?search=Titus 2:11-14", "Titus 2:11-14")</f>
        <v>Titus 2:11-14</v>
      </c>
      <c r="W73" s="225" t="str">
        <f>HYPERLINK("https://www.biblegateway.com/passage/?search=Luke 2:1-20", "Luke 2:1-20")</f>
        <v>Luke 2:1-20</v>
      </c>
      <c r="X73" s="219"/>
      <c r="Y73" s="228" t="s">
        <v>959</v>
      </c>
      <c r="Z73" s="236"/>
      <c r="AA73" s="262"/>
      <c r="AB73" s="259" t="s">
        <v>960</v>
      </c>
    </row>
    <row r="74" spans="1:28">
      <c r="A74" s="16">
        <f t="shared" si="21"/>
        <v>5</v>
      </c>
      <c r="B74" s="17">
        <v>43094</v>
      </c>
      <c r="C74" s="21" t="s">
        <v>961</v>
      </c>
      <c r="D74" s="20" t="s">
        <v>46</v>
      </c>
      <c r="E74" s="20" t="s">
        <v>40</v>
      </c>
      <c r="F74" s="20" t="s">
        <v>44</v>
      </c>
      <c r="G74" s="22"/>
      <c r="H74" s="22" t="str">
        <f t="shared" ref="H74:H76" si="22">IF(OR(A74=2,A74=4,A74=5),"X","")</f>
        <v>X</v>
      </c>
      <c r="I74" s="266"/>
      <c r="J74" s="266"/>
      <c r="K74" s="25"/>
      <c r="L74" s="28" t="str">
        <f>HYPERLINK("https://drive.google.com/drive/u/0/folders/1Q5LVrWkjEztWndZ8LWeIpLYtAWsLMvv5","Service Notes")</f>
        <v>Service Notes</v>
      </c>
      <c r="M74" s="25"/>
      <c r="N74" s="20" t="s">
        <v>337</v>
      </c>
      <c r="O74" s="25"/>
      <c r="P74" s="25"/>
      <c r="Q74" s="20" t="s">
        <v>883</v>
      </c>
      <c r="R74" s="25"/>
      <c r="S74" s="31" t="str">
        <f>HYPERLINK("https://www.biblegateway.com/passage/?search=Isaiah 52:7-10", "Isaiah 52:7-10")</f>
        <v>Isaiah 52:7-10</v>
      </c>
      <c r="T74" s="139" t="str">
        <f>HYPERLINK("https://www.biblegateway.com/passage/?search=What's the good news?", "What's the good news?")</f>
        <v>What's the good news?</v>
      </c>
      <c r="U74" s="31" t="str">
        <f>HYPERLINK("https://www.biblegateway.com/passage/?search=Isaiah 52:7-10", "Isaiah 52:7-10")</f>
        <v>Isaiah 52:7-10</v>
      </c>
      <c r="V74" s="31" t="str">
        <f>HYPERLINK("https://www.biblegateway.com/passage/?search=Hebrews 1:1-9", "Hebrews 1:1-9")</f>
        <v>Hebrews 1:1-9</v>
      </c>
      <c r="W74" s="31" t="str">
        <f>HYPERLINK("https://www.biblegateway.com/passage/?search=John 1:1-14", "John 1:1-14")</f>
        <v>John 1:1-14</v>
      </c>
      <c r="X74" s="32" t="str">
        <f>HYPERLINK("https://www.biblegateway.com/passage/?search=Psalm 98", "98")</f>
        <v>98</v>
      </c>
      <c r="Y74" s="33" t="s">
        <v>962</v>
      </c>
      <c r="Z74" s="34"/>
      <c r="AA74" s="33" t="s">
        <v>963</v>
      </c>
      <c r="AB74" s="172" t="s">
        <v>40</v>
      </c>
    </row>
    <row r="75" spans="1:28">
      <c r="A75" s="16">
        <f t="shared" si="21"/>
        <v>5</v>
      </c>
      <c r="B75" s="37">
        <f>B72+7</f>
        <v>43100</v>
      </c>
      <c r="C75" s="21" t="s">
        <v>41</v>
      </c>
      <c r="D75" s="20" t="s">
        <v>63</v>
      </c>
      <c r="E75" s="20" t="s">
        <v>43</v>
      </c>
      <c r="F75" s="20" t="s">
        <v>64</v>
      </c>
      <c r="G75" s="22"/>
      <c r="H75" s="22" t="str">
        <f t="shared" si="22"/>
        <v>X</v>
      </c>
      <c r="I75" s="266"/>
      <c r="J75" s="266"/>
      <c r="K75" s="20"/>
      <c r="L75" s="28" t="str">
        <f>HYPERLINK("https://drive.google.com/drive/folders/1ncxcB1VBTXGrt_QRzcA5N23LyeIR1ttU","Service Notes")</f>
        <v>Service Notes</v>
      </c>
      <c r="M75" s="25"/>
      <c r="N75" s="20"/>
      <c r="O75" s="25"/>
      <c r="P75" s="25"/>
      <c r="Q75" s="20" t="s">
        <v>895</v>
      </c>
      <c r="R75" s="20"/>
      <c r="S75" s="31" t="str">
        <f>HYPERLINK("https://www.biblegateway.com/passage/?search=Colossians 3:12-17", "Colossians 3:12-17")</f>
        <v>Colossians 3:12-17</v>
      </c>
      <c r="T75" s="20"/>
      <c r="U75" s="31" t="str">
        <f>HYPERLINK("https://www.biblegateway.com/passage/?search=Isaiah 45:20-25", "Isaiah 45:20-25")</f>
        <v>Isaiah 45:20-25</v>
      </c>
      <c r="V75" s="31" t="str">
        <f>HYPERLINK("https://www.biblegateway.com/passage/?search=Colossians 3:12-17", "Colossians 3:12-17")</f>
        <v>Colossians 3:12-17</v>
      </c>
      <c r="W75" s="31" t="str">
        <f>HYPERLINK("https://www.biblegateway.com/passage/?search=Luke 2:25-40", "Luke 2:25-40")</f>
        <v>Luke 2:25-40</v>
      </c>
      <c r="X75" s="22" t="s">
        <v>316</v>
      </c>
      <c r="Y75" s="33" t="s">
        <v>964</v>
      </c>
      <c r="Z75" s="34"/>
      <c r="AA75" s="33" t="s">
        <v>965</v>
      </c>
      <c r="AB75" s="172" t="s">
        <v>60</v>
      </c>
    </row>
    <row r="76" spans="1:28">
      <c r="A76" s="16">
        <f t="shared" si="21"/>
        <v>5</v>
      </c>
      <c r="B76" s="17">
        <v>43100</v>
      </c>
      <c r="C76" s="21" t="s">
        <v>897</v>
      </c>
      <c r="D76" s="20" t="s">
        <v>40</v>
      </c>
      <c r="E76" s="20" t="s">
        <v>40</v>
      </c>
      <c r="F76" s="20" t="s">
        <v>44</v>
      </c>
      <c r="G76" s="22"/>
      <c r="H76" s="22" t="str">
        <f t="shared" si="22"/>
        <v>X</v>
      </c>
      <c r="I76" s="266"/>
      <c r="J76" s="266"/>
      <c r="K76" s="25"/>
      <c r="L76" s="20" t="s">
        <v>966</v>
      </c>
      <c r="M76" s="25"/>
      <c r="N76" s="20"/>
      <c r="O76" s="25"/>
      <c r="P76" s="25"/>
      <c r="Q76" s="20" t="s">
        <v>898</v>
      </c>
      <c r="R76" s="25"/>
      <c r="S76" s="31" t="str">
        <f>HYPERLINK("https://www.biblegateway.com/passage/?search=Ecclesiastes 3:1-14", "Ecclesiastes 3:1-14")</f>
        <v>Ecclesiastes 3:1-14</v>
      </c>
      <c r="T76" s="20" t="s">
        <v>967</v>
      </c>
      <c r="U76" s="31" t="str">
        <f>HYPERLINK("https://www.biblegateway.com/passage/?search=Ecclesiastes 3:1-14", "Ecclesiastes 3:1-14")</f>
        <v>Ecclesiastes 3:1-14</v>
      </c>
      <c r="V76" s="31" t="str">
        <f>HYPERLINK("https://www.biblegateway.com/passage/?search=James 4:13-5:8", "James 4:13-5:8")</f>
        <v>James 4:13-5:8</v>
      </c>
      <c r="W76" s="31" t="str">
        <f>HYPERLINK("https://www.biblegateway.com/passage/?search=Matthew 6:19-24", "Matthew 6:19-24")</f>
        <v>Matthew 6:19-24</v>
      </c>
      <c r="X76" s="32" t="str">
        <f>HYPERLINK("https://www.biblegateway.com/passage/?search=Psalm 90", "90")</f>
        <v>90</v>
      </c>
      <c r="Y76" s="33" t="s">
        <v>968</v>
      </c>
      <c r="Z76" s="26"/>
      <c r="AA76" s="26"/>
      <c r="AB76" s="172" t="s">
        <v>40</v>
      </c>
    </row>
    <row r="77" spans="1:28">
      <c r="A77" s="16"/>
      <c r="B77" s="243"/>
      <c r="C77" s="267"/>
      <c r="D77" s="243"/>
      <c r="E77" s="243"/>
      <c r="F77" s="243"/>
      <c r="G77" s="245"/>
      <c r="H77" s="245"/>
      <c r="I77" s="243"/>
      <c r="J77" s="243"/>
      <c r="K77" s="243"/>
      <c r="L77" s="243"/>
      <c r="M77" s="243"/>
      <c r="N77" s="243"/>
      <c r="O77" s="243"/>
      <c r="P77" s="243"/>
      <c r="Q77" s="243"/>
      <c r="R77" s="243"/>
      <c r="S77" s="243"/>
      <c r="T77" s="243"/>
      <c r="U77" s="243"/>
      <c r="V77" s="243"/>
      <c r="W77" s="243"/>
      <c r="X77" s="245"/>
      <c r="Y77" s="246"/>
      <c r="Z77" s="246"/>
      <c r="AA77" s="246"/>
      <c r="AB77" s="246"/>
    </row>
    <row r="78" spans="1:28">
      <c r="A78" s="16"/>
      <c r="B78" s="243"/>
      <c r="C78" s="268" t="s">
        <v>969</v>
      </c>
      <c r="D78" s="244">
        <f>COUNTIF(D$2:D$76,"=Brauer")</f>
        <v>20</v>
      </c>
      <c r="E78" s="243"/>
      <c r="F78" s="243"/>
      <c r="G78" s="245"/>
      <c r="H78" s="245"/>
      <c r="I78" s="243"/>
      <c r="J78" s="243"/>
      <c r="K78" s="243"/>
      <c r="L78" s="243"/>
      <c r="M78" s="243"/>
      <c r="N78" s="243"/>
      <c r="O78" s="243"/>
      <c r="P78" s="243"/>
      <c r="Q78" s="243"/>
      <c r="R78" s="243"/>
      <c r="S78" s="243"/>
      <c r="T78" s="243"/>
      <c r="U78" s="243"/>
      <c r="V78" s="243"/>
      <c r="W78" s="243"/>
      <c r="X78" s="245"/>
      <c r="Y78" s="246"/>
      <c r="Z78" s="246"/>
      <c r="AA78" s="246"/>
      <c r="AB78" s="246"/>
    </row>
    <row r="79" spans="1:28">
      <c r="A79" s="16"/>
      <c r="B79" s="243"/>
      <c r="C79" s="268" t="s">
        <v>970</v>
      </c>
      <c r="D79" s="244">
        <f>COUNTIF(D$2:D$76,"=Buchholz")</f>
        <v>14</v>
      </c>
      <c r="E79" s="243"/>
      <c r="F79" s="243"/>
      <c r="G79" s="245"/>
      <c r="H79" s="245"/>
      <c r="I79" s="243"/>
      <c r="J79" s="243"/>
      <c r="K79" s="243"/>
      <c r="L79" s="243"/>
      <c r="M79" s="243"/>
      <c r="N79" s="243"/>
      <c r="O79" s="243"/>
      <c r="P79" s="243"/>
      <c r="Q79" s="243"/>
      <c r="R79" s="243"/>
      <c r="S79" s="243"/>
      <c r="T79" s="243"/>
      <c r="U79" s="269" t="str">
        <f>HYPERLINK("https://www.biblegateway.com/passage/?search= ", " ")</f>
        <v xml:space="preserve"> </v>
      </c>
      <c r="V79" s="243"/>
      <c r="W79" s="243"/>
      <c r="X79" s="245"/>
      <c r="Y79" s="246"/>
      <c r="Z79" s="246"/>
      <c r="AA79" s="246"/>
      <c r="AB79" s="246"/>
    </row>
    <row r="80" spans="1:28">
      <c r="A80" s="16"/>
      <c r="B80" s="243"/>
      <c r="C80" s="268" t="s">
        <v>971</v>
      </c>
      <c r="D80" s="244">
        <f>COUNTIF(D$2:D$76,"=Gran")</f>
        <v>21</v>
      </c>
      <c r="E80" s="243"/>
      <c r="F80" s="243"/>
      <c r="G80" s="245"/>
      <c r="H80" s="245"/>
      <c r="I80" s="243"/>
      <c r="J80" s="243"/>
      <c r="K80" s="243"/>
      <c r="L80" s="243"/>
      <c r="M80" s="243"/>
      <c r="N80" s="243"/>
      <c r="O80" s="243"/>
      <c r="P80" s="243"/>
      <c r="Q80" s="243"/>
      <c r="R80" s="243"/>
      <c r="S80" s="243"/>
      <c r="T80" s="243"/>
      <c r="U80" s="243"/>
      <c r="V80" s="243"/>
      <c r="W80" s="243"/>
      <c r="X80" s="245"/>
      <c r="Y80" s="246"/>
      <c r="Z80" s="246"/>
      <c r="AA80" s="246"/>
      <c r="AB80" s="246"/>
    </row>
    <row r="81" spans="1:28">
      <c r="A81" s="16"/>
      <c r="B81" s="243"/>
      <c r="C81" s="268" t="s">
        <v>972</v>
      </c>
      <c r="D81" s="244">
        <f>COUNTIF(D$2:D$76,"=Pautz")</f>
        <v>11</v>
      </c>
      <c r="E81" s="243"/>
      <c r="F81" s="243"/>
      <c r="G81" s="245"/>
      <c r="H81" s="245"/>
      <c r="I81" s="243"/>
      <c r="J81" s="243"/>
      <c r="K81" s="243"/>
      <c r="L81" s="243"/>
      <c r="M81" s="243"/>
      <c r="N81" s="243"/>
      <c r="O81" s="243"/>
      <c r="P81" s="243"/>
      <c r="Q81" s="243"/>
      <c r="R81" s="243"/>
      <c r="S81" s="243"/>
      <c r="T81" s="243"/>
      <c r="U81" s="243"/>
      <c r="V81" s="243"/>
      <c r="W81" s="243"/>
      <c r="X81" s="245"/>
      <c r="Y81" s="246"/>
      <c r="Z81" s="246"/>
      <c r="AA81" s="246"/>
      <c r="AB81" s="246"/>
    </row>
    <row r="82" spans="1:28">
      <c r="A82" s="16"/>
      <c r="B82" s="243"/>
      <c r="C82" s="268" t="s">
        <v>973</v>
      </c>
      <c r="D82" s="244">
        <f>COUNTIFS(D$2:D$76,"&lt;&gt;Brauer",D$2:D$76,"&lt;&gt;Buchholz",D$2:D$76,"&lt;&gt;Gran",D$2:D$76,"&lt;&gt;Pautz",D$2:D$76,"&lt;&gt;Preach") - COUNTBLANK(D$2:D$76)</f>
        <v>8</v>
      </c>
      <c r="E82" s="243"/>
      <c r="F82" s="243"/>
      <c r="G82" s="245"/>
      <c r="H82" s="245"/>
      <c r="I82" s="244"/>
      <c r="J82" s="243"/>
      <c r="K82" s="243"/>
      <c r="L82" s="243"/>
      <c r="M82" s="243"/>
      <c r="N82" s="243"/>
      <c r="O82" s="243"/>
      <c r="P82" s="243"/>
      <c r="Q82" s="243"/>
      <c r="R82" s="243"/>
      <c r="S82" s="243"/>
      <c r="T82" s="243"/>
      <c r="U82" s="243"/>
      <c r="V82" s="243"/>
      <c r="W82" s="243"/>
      <c r="X82" s="245"/>
      <c r="Y82" s="246"/>
      <c r="Z82" s="246"/>
      <c r="AA82" s="246"/>
      <c r="AB82" s="246"/>
    </row>
    <row r="83" spans="1:28">
      <c r="A83" s="16"/>
      <c r="B83" s="243"/>
      <c r="C83" s="267"/>
      <c r="D83" s="243"/>
      <c r="E83" s="243"/>
      <c r="F83" s="243"/>
      <c r="G83" s="245"/>
      <c r="H83" s="245"/>
      <c r="I83" s="243"/>
      <c r="J83" s="243"/>
      <c r="K83" s="243"/>
      <c r="L83" s="243"/>
      <c r="M83" s="243"/>
      <c r="N83" s="243"/>
      <c r="O83" s="243"/>
      <c r="P83" s="243"/>
      <c r="Q83" s="243"/>
      <c r="R83" s="243"/>
      <c r="S83" s="243"/>
      <c r="T83" s="243"/>
      <c r="U83" s="243"/>
      <c r="V83" s="243"/>
      <c r="W83" s="243"/>
      <c r="X83" s="245"/>
      <c r="Y83" s="246"/>
      <c r="Z83" s="246"/>
      <c r="AA83" s="246"/>
      <c r="AB83" s="246"/>
    </row>
    <row r="84" spans="1:28">
      <c r="A84" s="243"/>
      <c r="B84" s="243"/>
      <c r="C84" s="267"/>
      <c r="D84" s="244"/>
      <c r="E84" s="243"/>
      <c r="F84" s="243"/>
      <c r="G84" s="245"/>
      <c r="H84" s="245"/>
      <c r="I84" s="243"/>
      <c r="J84" s="243"/>
      <c r="K84" s="243"/>
      <c r="L84" s="243"/>
      <c r="M84" s="243"/>
      <c r="N84" s="243"/>
      <c r="O84" s="243"/>
      <c r="Q84" s="243"/>
      <c r="R84" s="243"/>
      <c r="S84" s="243"/>
      <c r="T84" s="243"/>
      <c r="U84" s="243"/>
      <c r="V84" s="243"/>
      <c r="W84" s="243"/>
      <c r="X84" s="245"/>
      <c r="Y84" s="246"/>
      <c r="Z84" s="246"/>
      <c r="AA84" s="246"/>
      <c r="AB84" s="246"/>
    </row>
    <row r="85" spans="1:28">
      <c r="B85" s="243"/>
      <c r="C85" s="267"/>
      <c r="D85" s="243"/>
      <c r="E85" s="243"/>
      <c r="F85" s="243"/>
      <c r="G85" s="245"/>
      <c r="H85" s="245"/>
      <c r="I85" s="243"/>
      <c r="J85" s="243"/>
      <c r="K85" s="243"/>
      <c r="L85" s="243"/>
      <c r="M85" s="243"/>
      <c r="N85" s="243"/>
      <c r="O85" s="243"/>
      <c r="P85" s="243"/>
      <c r="Q85" s="243"/>
      <c r="R85" s="243"/>
      <c r="S85" s="243"/>
      <c r="T85" s="243"/>
      <c r="U85" s="243"/>
      <c r="V85" s="243"/>
      <c r="W85" s="243"/>
      <c r="X85" s="245"/>
      <c r="Y85" s="246"/>
      <c r="Z85" s="246"/>
      <c r="AA85" s="246"/>
      <c r="AB85" s="246"/>
    </row>
    <row r="86" spans="1:28">
      <c r="B86" s="243"/>
      <c r="C86" s="267"/>
      <c r="D86" s="243"/>
      <c r="E86" s="243"/>
      <c r="F86" s="243"/>
      <c r="G86" s="245"/>
      <c r="H86" s="245"/>
      <c r="I86" s="243"/>
      <c r="J86" s="243"/>
      <c r="K86" s="243"/>
      <c r="L86" s="243"/>
      <c r="M86" s="243"/>
      <c r="N86" s="243"/>
      <c r="O86" s="243"/>
      <c r="P86" s="243"/>
      <c r="Q86" s="243"/>
      <c r="R86" s="243"/>
      <c r="S86" s="243"/>
      <c r="T86" s="243"/>
      <c r="U86" s="243"/>
      <c r="V86" s="243"/>
      <c r="W86" s="243"/>
      <c r="X86" s="245"/>
      <c r="Y86" s="246"/>
      <c r="Z86" s="246"/>
      <c r="AA86" s="246"/>
      <c r="AB86" s="246"/>
    </row>
    <row r="87" spans="1:28">
      <c r="B87" s="243"/>
      <c r="C87" s="267"/>
      <c r="D87" s="243"/>
      <c r="E87" s="243"/>
      <c r="F87" s="243"/>
      <c r="G87" s="245"/>
      <c r="H87" s="245"/>
      <c r="I87" s="243"/>
      <c r="J87" s="243"/>
      <c r="K87" s="243"/>
      <c r="L87" s="243"/>
      <c r="M87" s="243"/>
      <c r="N87" s="243"/>
      <c r="O87" s="243"/>
      <c r="P87" s="243"/>
      <c r="Q87" s="243"/>
      <c r="R87" s="243"/>
      <c r="S87" s="243"/>
      <c r="T87" s="243"/>
      <c r="U87" s="243"/>
      <c r="V87" s="243"/>
      <c r="W87" s="243"/>
      <c r="X87" s="245"/>
      <c r="Y87" s="246"/>
      <c r="Z87" s="246"/>
      <c r="AA87" s="246"/>
      <c r="AB87" s="246"/>
    </row>
    <row r="88" spans="1:28">
      <c r="B88" s="243"/>
      <c r="C88" s="267"/>
      <c r="D88" s="243"/>
      <c r="E88" s="243"/>
      <c r="F88" s="243"/>
      <c r="G88" s="245"/>
      <c r="H88" s="245"/>
      <c r="I88" s="243"/>
      <c r="J88" s="243"/>
      <c r="K88" s="243"/>
      <c r="L88" s="243"/>
      <c r="M88" s="243"/>
      <c r="N88" s="243"/>
      <c r="O88" s="243"/>
      <c r="P88" s="243"/>
      <c r="Q88" s="243"/>
      <c r="R88" s="243"/>
      <c r="S88" s="243"/>
      <c r="T88" s="243"/>
      <c r="U88" s="243"/>
      <c r="V88" s="243"/>
      <c r="W88" s="243"/>
      <c r="X88" s="245"/>
      <c r="Y88" s="246"/>
      <c r="Z88" s="246"/>
      <c r="AA88" s="246"/>
      <c r="AB88" s="246"/>
    </row>
    <row r="89" spans="1:28">
      <c r="B89" s="243"/>
      <c r="C89" s="267"/>
      <c r="D89" s="243"/>
      <c r="E89" s="243"/>
      <c r="F89" s="243"/>
      <c r="G89" s="245"/>
      <c r="H89" s="245"/>
      <c r="I89" s="243"/>
      <c r="J89" s="243"/>
      <c r="K89" s="243"/>
      <c r="L89" s="243"/>
      <c r="M89" s="243"/>
      <c r="N89" s="243"/>
      <c r="O89" s="243"/>
      <c r="P89" s="243"/>
      <c r="Q89" s="243"/>
      <c r="R89" s="243"/>
      <c r="S89" s="243"/>
      <c r="T89" s="243"/>
      <c r="U89" s="243"/>
      <c r="V89" s="243"/>
      <c r="W89" s="243"/>
      <c r="X89" s="245"/>
      <c r="Y89" s="246"/>
      <c r="Z89" s="246"/>
      <c r="AA89" s="246"/>
      <c r="AB89" s="246"/>
    </row>
    <row r="90" spans="1:28">
      <c r="B90" s="243"/>
      <c r="C90" s="267"/>
      <c r="D90" s="243"/>
      <c r="E90" s="243"/>
      <c r="F90" s="243"/>
      <c r="G90" s="243"/>
      <c r="H90" s="243"/>
      <c r="I90" s="243"/>
      <c r="J90" s="243"/>
      <c r="K90" s="243"/>
      <c r="L90" s="243"/>
      <c r="M90" s="243"/>
      <c r="N90" s="243"/>
      <c r="O90" s="243"/>
      <c r="P90" s="243"/>
      <c r="Q90" s="243"/>
      <c r="R90" s="243"/>
      <c r="S90" s="243"/>
      <c r="T90" s="243"/>
      <c r="U90" s="243"/>
      <c r="V90" s="243"/>
      <c r="W90" s="243"/>
      <c r="X90" s="245"/>
      <c r="Y90" s="246"/>
      <c r="Z90" s="246"/>
      <c r="AA90" s="246"/>
      <c r="AB90" s="246"/>
    </row>
    <row r="91" spans="1:28">
      <c r="B91" s="243"/>
      <c r="C91" s="267"/>
      <c r="D91" s="243"/>
      <c r="E91" s="243"/>
      <c r="F91" s="243"/>
      <c r="G91" s="243"/>
      <c r="H91" s="243"/>
      <c r="I91" s="243"/>
      <c r="J91" s="243"/>
      <c r="K91" s="243"/>
      <c r="L91" s="243"/>
      <c r="M91" s="243"/>
      <c r="N91" s="243"/>
      <c r="O91" s="243"/>
      <c r="P91" s="243"/>
      <c r="Q91" s="243"/>
      <c r="R91" s="243"/>
      <c r="S91" s="243"/>
      <c r="T91" s="243"/>
      <c r="U91" s="243"/>
      <c r="V91" s="243"/>
      <c r="W91" s="243"/>
      <c r="X91" s="245"/>
      <c r="Y91" s="246"/>
      <c r="Z91" s="246"/>
      <c r="AA91" s="246"/>
      <c r="AB91" s="246"/>
    </row>
    <row r="92" spans="1:28">
      <c r="B92" s="243"/>
      <c r="C92" s="267"/>
      <c r="D92" s="243"/>
      <c r="E92" s="243"/>
      <c r="F92" s="243"/>
      <c r="G92" s="243"/>
      <c r="H92" s="243"/>
      <c r="I92" s="243"/>
      <c r="J92" s="243"/>
      <c r="K92" s="243"/>
      <c r="L92" s="243"/>
      <c r="M92" s="243"/>
      <c r="N92" s="243"/>
      <c r="O92" s="243"/>
      <c r="P92" s="243"/>
      <c r="Q92" s="243"/>
      <c r="R92" s="243"/>
      <c r="S92" s="243"/>
      <c r="T92" s="243"/>
      <c r="U92" s="243"/>
      <c r="V92" s="243"/>
      <c r="W92" s="243"/>
      <c r="X92" s="245"/>
      <c r="Y92" s="246"/>
      <c r="Z92" s="246"/>
      <c r="AA92" s="246"/>
      <c r="AB92" s="246"/>
    </row>
    <row r="93" spans="1:28">
      <c r="B93" s="243"/>
      <c r="C93" s="267"/>
      <c r="D93" s="243"/>
      <c r="E93" s="243"/>
      <c r="F93" s="243"/>
      <c r="G93" s="243"/>
      <c r="H93" s="243"/>
      <c r="I93" s="243"/>
      <c r="J93" s="243"/>
      <c r="K93" s="243"/>
      <c r="L93" s="243"/>
      <c r="M93" s="243"/>
      <c r="N93" s="243"/>
      <c r="O93" s="243"/>
      <c r="P93" s="243"/>
      <c r="Q93" s="243"/>
      <c r="R93" s="243"/>
      <c r="S93" s="243"/>
      <c r="T93" s="243"/>
      <c r="U93" s="243"/>
      <c r="V93" s="243"/>
      <c r="W93" s="243"/>
      <c r="X93" s="245"/>
      <c r="Y93" s="246"/>
      <c r="Z93" s="246"/>
      <c r="AA93" s="246"/>
      <c r="AB93" s="246"/>
    </row>
    <row r="94" spans="1:28">
      <c r="B94" s="243"/>
      <c r="C94" s="267"/>
      <c r="D94" s="243"/>
      <c r="E94" s="243"/>
      <c r="F94" s="243"/>
      <c r="G94" s="243"/>
      <c r="H94" s="243"/>
      <c r="I94" s="243"/>
      <c r="J94" s="243"/>
      <c r="K94" s="243"/>
      <c r="L94" s="243"/>
      <c r="M94" s="243"/>
      <c r="N94" s="243"/>
      <c r="O94" s="243"/>
      <c r="P94" s="243"/>
      <c r="Q94" s="243"/>
      <c r="R94" s="243"/>
      <c r="S94" s="243"/>
      <c r="T94" s="243"/>
      <c r="U94" s="243"/>
      <c r="V94" s="243"/>
      <c r="W94" s="243"/>
      <c r="X94" s="245"/>
      <c r="Y94" s="246"/>
      <c r="Z94" s="246"/>
      <c r="AA94" s="246"/>
      <c r="AB94" s="246"/>
    </row>
    <row r="95" spans="1:28">
      <c r="B95" s="243"/>
      <c r="C95" s="267"/>
      <c r="D95" s="243"/>
      <c r="E95" s="243"/>
      <c r="F95" s="243"/>
      <c r="G95" s="243"/>
      <c r="H95" s="243"/>
      <c r="I95" s="243"/>
      <c r="J95" s="243"/>
      <c r="K95" s="243"/>
      <c r="L95" s="243"/>
      <c r="M95" s="243"/>
      <c r="N95" s="243"/>
      <c r="O95" s="243"/>
      <c r="P95" s="243"/>
      <c r="Q95" s="243"/>
      <c r="R95" s="243"/>
      <c r="S95" s="243"/>
      <c r="T95" s="243"/>
      <c r="U95" s="243"/>
      <c r="V95" s="243"/>
      <c r="W95" s="243"/>
      <c r="X95" s="245"/>
      <c r="Y95" s="246"/>
      <c r="Z95" s="246"/>
      <c r="AA95" s="246"/>
      <c r="AB95" s="246"/>
    </row>
    <row r="96" spans="1:28">
      <c r="B96" s="243"/>
      <c r="C96" s="267"/>
      <c r="D96" s="243"/>
      <c r="E96" s="243"/>
      <c r="F96" s="243"/>
      <c r="G96" s="243"/>
      <c r="H96" s="243"/>
      <c r="I96" s="243"/>
      <c r="J96" s="243"/>
      <c r="K96" s="243"/>
      <c r="L96" s="243"/>
      <c r="M96" s="243"/>
      <c r="N96" s="243"/>
      <c r="O96" s="243"/>
      <c r="P96" s="243"/>
      <c r="Q96" s="243"/>
      <c r="R96" s="243"/>
      <c r="S96" s="243"/>
      <c r="T96" s="243"/>
      <c r="U96" s="243"/>
      <c r="V96" s="243"/>
      <c r="W96" s="243"/>
      <c r="X96" s="245"/>
      <c r="Y96" s="246"/>
      <c r="Z96" s="246"/>
      <c r="AA96" s="246"/>
      <c r="AB96" s="246"/>
    </row>
    <row r="97" spans="2:28">
      <c r="B97" s="243"/>
      <c r="C97" s="267"/>
      <c r="D97" s="243"/>
      <c r="E97" s="243"/>
      <c r="F97" s="243"/>
      <c r="G97" s="243"/>
      <c r="H97" s="243"/>
      <c r="I97" s="243"/>
      <c r="J97" s="243"/>
      <c r="K97" s="243"/>
      <c r="L97" s="243"/>
      <c r="M97" s="243"/>
      <c r="N97" s="243"/>
      <c r="O97" s="243"/>
      <c r="P97" s="243"/>
      <c r="Q97" s="243"/>
      <c r="R97" s="243"/>
      <c r="S97" s="243"/>
      <c r="T97" s="243"/>
      <c r="U97" s="243"/>
      <c r="V97" s="243"/>
      <c r="W97" s="243"/>
      <c r="X97" s="245"/>
      <c r="Y97" s="246"/>
      <c r="Z97" s="246"/>
      <c r="AA97" s="246"/>
      <c r="AB97" s="246"/>
    </row>
    <row r="98" spans="2:28">
      <c r="B98" s="243"/>
      <c r="C98" s="267"/>
      <c r="D98" s="243"/>
      <c r="E98" s="243"/>
      <c r="F98" s="243"/>
      <c r="G98" s="243"/>
      <c r="H98" s="243"/>
      <c r="I98" s="243"/>
      <c r="J98" s="243"/>
      <c r="K98" s="243"/>
      <c r="L98" s="243"/>
      <c r="M98" s="243"/>
      <c r="N98" s="243"/>
      <c r="O98" s="243"/>
      <c r="P98" s="243"/>
      <c r="Q98" s="243"/>
      <c r="R98" s="243"/>
      <c r="S98" s="243"/>
      <c r="T98" s="243"/>
      <c r="U98" s="243"/>
      <c r="V98" s="243"/>
      <c r="W98" s="243"/>
      <c r="X98" s="245"/>
      <c r="Y98" s="246"/>
      <c r="Z98" s="246"/>
      <c r="AA98" s="246"/>
      <c r="AB98" s="246"/>
    </row>
    <row r="99" spans="2:28">
      <c r="B99" s="243"/>
      <c r="C99" s="267"/>
      <c r="D99" s="243"/>
      <c r="E99" s="243"/>
      <c r="F99" s="243"/>
      <c r="G99" s="243"/>
      <c r="H99" s="243"/>
      <c r="I99" s="243"/>
      <c r="J99" s="243"/>
      <c r="K99" s="243"/>
      <c r="L99" s="243"/>
      <c r="M99" s="243"/>
      <c r="N99" s="243"/>
      <c r="O99" s="243"/>
      <c r="P99" s="243"/>
      <c r="Q99" s="243"/>
      <c r="R99" s="243"/>
      <c r="S99" s="243"/>
      <c r="T99" s="243"/>
      <c r="U99" s="243"/>
      <c r="V99" s="243"/>
      <c r="W99" s="243"/>
      <c r="X99" s="245"/>
      <c r="Y99" s="246"/>
      <c r="Z99" s="246"/>
      <c r="AA99" s="246"/>
      <c r="AB99" s="246"/>
    </row>
    <row r="100" spans="2:28" ht="15.85" customHeight="1">
      <c r="C100" s="270"/>
      <c r="X100" s="248"/>
    </row>
    <row r="101" spans="2:28" ht="15.85" customHeight="1">
      <c r="C101" s="270"/>
      <c r="X101" s="248"/>
    </row>
    <row r="102" spans="2:28" ht="15.85" customHeight="1">
      <c r="C102" s="270"/>
      <c r="X102" s="248"/>
    </row>
    <row r="103" spans="2:28" ht="15.85" customHeight="1">
      <c r="C103" s="270"/>
      <c r="X103" s="248"/>
    </row>
    <row r="104" spans="2:28" ht="15.85" customHeight="1">
      <c r="C104" s="270"/>
      <c r="X104" s="248"/>
    </row>
    <row r="105" spans="2:28" ht="15.85" customHeight="1">
      <c r="C105" s="270"/>
      <c r="X105" s="248"/>
    </row>
    <row r="106" spans="2:28" ht="15.85" customHeight="1">
      <c r="C106" s="270"/>
      <c r="X106" s="248"/>
    </row>
    <row r="107" spans="2:28" ht="15.85" customHeight="1">
      <c r="C107" s="270"/>
      <c r="X107" s="248"/>
    </row>
    <row r="108" spans="2:28" ht="15.85" customHeight="1">
      <c r="C108" s="270"/>
      <c r="X108" s="248"/>
    </row>
    <row r="109" spans="2:28" ht="15.85" customHeight="1">
      <c r="C109" s="270"/>
      <c r="X109" s="248"/>
    </row>
    <row r="110" spans="2:28" ht="15.85" customHeight="1">
      <c r="C110" s="270"/>
      <c r="X110" s="248"/>
    </row>
    <row r="111" spans="2:28" ht="15.85" customHeight="1">
      <c r="C111" s="270"/>
      <c r="X111" s="248"/>
    </row>
    <row r="112" spans="2:28" ht="15.85" customHeight="1">
      <c r="C112" s="270"/>
      <c r="X112" s="248"/>
    </row>
    <row r="113" spans="3:24" ht="15.85" customHeight="1">
      <c r="C113" s="270"/>
      <c r="X113" s="248"/>
    </row>
    <row r="114" spans="3:24" ht="15.85" customHeight="1">
      <c r="C114" s="270"/>
      <c r="X114" s="248"/>
    </row>
    <row r="115" spans="3:24" ht="15.85" customHeight="1">
      <c r="C115" s="270"/>
      <c r="X115" s="248"/>
    </row>
    <row r="116" spans="3:24" ht="15.85" customHeight="1">
      <c r="C116" s="270"/>
      <c r="X116" s="248"/>
    </row>
    <row r="117" spans="3:24" ht="15.85" customHeight="1">
      <c r="C117" s="270"/>
      <c r="X117" s="248"/>
    </row>
    <row r="118" spans="3:24" ht="15.85" customHeight="1">
      <c r="C118" s="270"/>
      <c r="X118" s="248"/>
    </row>
    <row r="119" spans="3:24" ht="15.85" customHeight="1">
      <c r="C119" s="270"/>
      <c r="X119" s="248"/>
    </row>
    <row r="120" spans="3:24" ht="15.85" customHeight="1">
      <c r="C120" s="270"/>
      <c r="X120" s="248"/>
    </row>
    <row r="121" spans="3:24" ht="15.85" customHeight="1">
      <c r="C121" s="270"/>
      <c r="X121" s="248"/>
    </row>
    <row r="122" spans="3:24" ht="15.85" customHeight="1">
      <c r="C122" s="270"/>
      <c r="X122" s="248"/>
    </row>
    <row r="123" spans="3:24" ht="15.85" customHeight="1">
      <c r="C123" s="270"/>
      <c r="X123" s="248"/>
    </row>
    <row r="124" spans="3:24" ht="15.85" customHeight="1">
      <c r="C124" s="270"/>
      <c r="X124" s="248"/>
    </row>
    <row r="125" spans="3:24" ht="15.85" customHeight="1">
      <c r="C125" s="270"/>
      <c r="X125" s="248"/>
    </row>
    <row r="126" spans="3:24" ht="15.85" customHeight="1">
      <c r="C126" s="270"/>
      <c r="X126" s="248"/>
    </row>
    <row r="127" spans="3:24" ht="15.85" customHeight="1">
      <c r="C127" s="270"/>
      <c r="X127" s="248"/>
    </row>
    <row r="128" spans="3:24" ht="15.85" customHeight="1">
      <c r="C128" s="270"/>
      <c r="X128" s="248"/>
    </row>
    <row r="129" spans="3:24" ht="15.85" customHeight="1">
      <c r="C129" s="270"/>
      <c r="X129" s="248"/>
    </row>
    <row r="130" spans="3:24" ht="15.85" customHeight="1">
      <c r="C130" s="270"/>
      <c r="X130" s="248"/>
    </row>
    <row r="131" spans="3:24" ht="15.85" customHeight="1">
      <c r="C131" s="270"/>
      <c r="X131" s="248"/>
    </row>
    <row r="132" spans="3:24" ht="15.85" customHeight="1">
      <c r="C132" s="270"/>
      <c r="X132" s="248"/>
    </row>
    <row r="133" spans="3:24" ht="15.85" customHeight="1">
      <c r="C133" s="270"/>
      <c r="X133" s="248"/>
    </row>
    <row r="134" spans="3:24" ht="15.85" customHeight="1">
      <c r="C134" s="270"/>
      <c r="X134" s="248"/>
    </row>
    <row r="135" spans="3:24" ht="15.85" customHeight="1">
      <c r="C135" s="270"/>
      <c r="X135" s="248"/>
    </row>
    <row r="136" spans="3:24" ht="15.85" customHeight="1">
      <c r="C136" s="270"/>
      <c r="X136" s="248"/>
    </row>
    <row r="137" spans="3:24" ht="15.85" customHeight="1">
      <c r="C137" s="270"/>
      <c r="X137" s="248"/>
    </row>
    <row r="138" spans="3:24" ht="15.85" customHeight="1">
      <c r="C138" s="270"/>
      <c r="X138" s="248"/>
    </row>
    <row r="139" spans="3:24" ht="15.85" customHeight="1">
      <c r="C139" s="270"/>
      <c r="X139" s="248"/>
    </row>
    <row r="140" spans="3:24" ht="15.85" customHeight="1">
      <c r="C140" s="270"/>
      <c r="X140" s="248"/>
    </row>
    <row r="141" spans="3:24" ht="15.85" customHeight="1">
      <c r="C141" s="270"/>
      <c r="X141" s="248"/>
    </row>
    <row r="142" spans="3:24" ht="15.85" customHeight="1">
      <c r="C142" s="270"/>
      <c r="X142" s="248"/>
    </row>
    <row r="143" spans="3:24" ht="15.85" customHeight="1">
      <c r="C143" s="270"/>
      <c r="X143" s="248"/>
    </row>
    <row r="144" spans="3:24" ht="15.85" customHeight="1">
      <c r="C144" s="270"/>
      <c r="X144" s="248"/>
    </row>
    <row r="145" spans="3:24" ht="15.85" customHeight="1">
      <c r="C145" s="270"/>
      <c r="X145" s="248"/>
    </row>
    <row r="146" spans="3:24" ht="15.85" customHeight="1">
      <c r="C146" s="270"/>
      <c r="X146" s="248"/>
    </row>
    <row r="147" spans="3:24" ht="15.85" customHeight="1">
      <c r="C147" s="270"/>
      <c r="X147" s="248"/>
    </row>
    <row r="148" spans="3:24" ht="15.85" customHeight="1">
      <c r="C148" s="270"/>
      <c r="X148" s="248"/>
    </row>
    <row r="149" spans="3:24" ht="15.85" customHeight="1">
      <c r="C149" s="270"/>
      <c r="X149" s="248"/>
    </row>
    <row r="150" spans="3:24" ht="15.85" customHeight="1">
      <c r="C150" s="270"/>
      <c r="X150" s="248"/>
    </row>
    <row r="151" spans="3:24" ht="15.85" customHeight="1">
      <c r="C151" s="270"/>
      <c r="X151" s="248"/>
    </row>
    <row r="152" spans="3:24" ht="15.85" customHeight="1">
      <c r="C152" s="270"/>
      <c r="X152" s="248"/>
    </row>
    <row r="153" spans="3:24" ht="15.85" customHeight="1">
      <c r="C153" s="270"/>
      <c r="X153" s="248"/>
    </row>
    <row r="154" spans="3:24" ht="15.85" customHeight="1">
      <c r="C154" s="270"/>
      <c r="X154" s="248"/>
    </row>
    <row r="155" spans="3:24" ht="15.85" customHeight="1">
      <c r="C155" s="270"/>
      <c r="X155" s="248"/>
    </row>
    <row r="156" spans="3:24" ht="15.85" customHeight="1">
      <c r="C156" s="270"/>
      <c r="X156" s="248"/>
    </row>
    <row r="157" spans="3:24" ht="15.85" customHeight="1">
      <c r="C157" s="270"/>
      <c r="X157" s="248"/>
    </row>
    <row r="158" spans="3:24" ht="15.85" customHeight="1">
      <c r="C158" s="270"/>
      <c r="X158" s="248"/>
    </row>
    <row r="159" spans="3:24" ht="15.85" customHeight="1">
      <c r="C159" s="270"/>
      <c r="X159" s="248"/>
    </row>
    <row r="160" spans="3:24" ht="15.85" customHeight="1">
      <c r="C160" s="270"/>
      <c r="X160" s="248"/>
    </row>
    <row r="161" spans="3:24" ht="15.85" customHeight="1">
      <c r="C161" s="270"/>
      <c r="X161" s="248"/>
    </row>
    <row r="162" spans="3:24" ht="15.85" customHeight="1">
      <c r="C162" s="270"/>
      <c r="X162" s="248"/>
    </row>
    <row r="163" spans="3:24" ht="15.85" customHeight="1">
      <c r="C163" s="270"/>
      <c r="X163" s="248"/>
    </row>
    <row r="164" spans="3:24" ht="15.85" customHeight="1">
      <c r="C164" s="270"/>
      <c r="X164" s="248"/>
    </row>
    <row r="165" spans="3:24" ht="15.85" customHeight="1">
      <c r="C165" s="270"/>
      <c r="X165" s="248"/>
    </row>
    <row r="166" spans="3:24" ht="15.85" customHeight="1">
      <c r="C166" s="270"/>
      <c r="X166" s="248"/>
    </row>
    <row r="167" spans="3:24" ht="15.85" customHeight="1">
      <c r="C167" s="270"/>
      <c r="X167" s="248"/>
    </row>
    <row r="168" spans="3:24" ht="15.85" customHeight="1">
      <c r="C168" s="270"/>
      <c r="X168" s="248"/>
    </row>
    <row r="169" spans="3:24" ht="15.85" customHeight="1">
      <c r="C169" s="270"/>
      <c r="X169" s="248"/>
    </row>
    <row r="170" spans="3:24" ht="15.85" customHeight="1">
      <c r="C170" s="270"/>
      <c r="X170" s="248"/>
    </row>
    <row r="171" spans="3:24" ht="15.85" customHeight="1">
      <c r="C171" s="270"/>
      <c r="X171" s="248"/>
    </row>
    <row r="172" spans="3:24" ht="15.85" customHeight="1">
      <c r="C172" s="270"/>
      <c r="X172" s="248"/>
    </row>
    <row r="173" spans="3:24" ht="15.85" customHeight="1">
      <c r="C173" s="270"/>
      <c r="X173" s="248"/>
    </row>
    <row r="174" spans="3:24" ht="15.85" customHeight="1">
      <c r="C174" s="270"/>
      <c r="X174" s="248"/>
    </row>
    <row r="175" spans="3:24" ht="15.85" customHeight="1">
      <c r="C175" s="270"/>
      <c r="X175" s="248"/>
    </row>
    <row r="176" spans="3:24" ht="15.85" customHeight="1">
      <c r="C176" s="270"/>
      <c r="X176" s="248"/>
    </row>
    <row r="177" spans="3:24" ht="15.85" customHeight="1">
      <c r="C177" s="270"/>
      <c r="X177" s="248"/>
    </row>
    <row r="178" spans="3:24" ht="15.85" customHeight="1">
      <c r="C178" s="270"/>
      <c r="X178" s="248"/>
    </row>
    <row r="179" spans="3:24" ht="15.85" customHeight="1">
      <c r="C179" s="270"/>
      <c r="X179" s="248"/>
    </row>
    <row r="180" spans="3:24" ht="15.85" customHeight="1">
      <c r="C180" s="270"/>
      <c r="X180" s="248"/>
    </row>
    <row r="181" spans="3:24" ht="15.85" customHeight="1">
      <c r="C181" s="270"/>
      <c r="X181" s="248"/>
    </row>
    <row r="182" spans="3:24" ht="15.85" customHeight="1">
      <c r="C182" s="270"/>
      <c r="X182" s="248"/>
    </row>
    <row r="183" spans="3:24" ht="15.85" customHeight="1">
      <c r="C183" s="270"/>
      <c r="X183" s="248"/>
    </row>
    <row r="184" spans="3:24" ht="15.85" customHeight="1">
      <c r="C184" s="270"/>
      <c r="X184" s="248"/>
    </row>
    <row r="185" spans="3:24" ht="15.85" customHeight="1">
      <c r="C185" s="270"/>
      <c r="X185" s="248"/>
    </row>
    <row r="186" spans="3:24" ht="15.85" customHeight="1">
      <c r="C186" s="270"/>
      <c r="X186" s="248"/>
    </row>
    <row r="187" spans="3:24" ht="15.85" customHeight="1">
      <c r="C187" s="270"/>
      <c r="X187" s="248"/>
    </row>
    <row r="188" spans="3:24" ht="15.85" customHeight="1">
      <c r="C188" s="270"/>
      <c r="X188" s="248"/>
    </row>
    <row r="189" spans="3:24" ht="15.85" customHeight="1">
      <c r="C189" s="270"/>
      <c r="X189" s="248"/>
    </row>
    <row r="190" spans="3:24" ht="15.85" customHeight="1">
      <c r="C190" s="270"/>
      <c r="X190" s="248"/>
    </row>
    <row r="191" spans="3:24" ht="15.85" customHeight="1">
      <c r="C191" s="270"/>
      <c r="X191" s="248"/>
    </row>
    <row r="192" spans="3:24" ht="15.85" customHeight="1">
      <c r="C192" s="270"/>
      <c r="X192" s="248"/>
    </row>
    <row r="193" spans="3:24" ht="15.85" customHeight="1">
      <c r="C193" s="270"/>
      <c r="X193" s="248"/>
    </row>
    <row r="194" spans="3:24" ht="15.85" customHeight="1">
      <c r="C194" s="270"/>
      <c r="X194" s="248"/>
    </row>
    <row r="195" spans="3:24" ht="15.85" customHeight="1">
      <c r="C195" s="270"/>
      <c r="X195" s="248"/>
    </row>
    <row r="196" spans="3:24" ht="15.85" customHeight="1">
      <c r="C196" s="270"/>
      <c r="X196" s="248"/>
    </row>
    <row r="197" spans="3:24" ht="15.85" customHeight="1">
      <c r="C197" s="270"/>
      <c r="X197" s="248"/>
    </row>
    <row r="198" spans="3:24" ht="15.85" customHeight="1">
      <c r="C198" s="270"/>
      <c r="X198" s="248"/>
    </row>
    <row r="199" spans="3:24" ht="15.85" customHeight="1">
      <c r="C199" s="270"/>
      <c r="X199" s="248"/>
    </row>
    <row r="200" spans="3:24" ht="15.85" customHeight="1">
      <c r="C200" s="270"/>
      <c r="X200" s="248"/>
    </row>
    <row r="201" spans="3:24" ht="15.85" customHeight="1">
      <c r="C201" s="270"/>
      <c r="X201" s="248"/>
    </row>
    <row r="202" spans="3:24" ht="15.85" customHeight="1">
      <c r="C202" s="270"/>
      <c r="X202" s="248"/>
    </row>
    <row r="203" spans="3:24" ht="15.85" customHeight="1">
      <c r="C203" s="270"/>
      <c r="X203" s="248"/>
    </row>
    <row r="204" spans="3:24" ht="15.85" customHeight="1">
      <c r="C204" s="270"/>
      <c r="X204" s="248"/>
    </row>
    <row r="205" spans="3:24" ht="15.85" customHeight="1">
      <c r="C205" s="270"/>
      <c r="X205" s="248"/>
    </row>
    <row r="206" spans="3:24" ht="15.85" customHeight="1">
      <c r="C206" s="270"/>
      <c r="X206" s="248"/>
    </row>
    <row r="207" spans="3:24" ht="15.85" customHeight="1">
      <c r="C207" s="270"/>
      <c r="X207" s="248"/>
    </row>
    <row r="208" spans="3:24" ht="15.85" customHeight="1">
      <c r="C208" s="270"/>
      <c r="X208" s="248"/>
    </row>
    <row r="209" spans="3:24" ht="15.85" customHeight="1">
      <c r="C209" s="270"/>
      <c r="X209" s="248"/>
    </row>
    <row r="210" spans="3:24" ht="15.85" customHeight="1">
      <c r="C210" s="270"/>
      <c r="X210" s="248"/>
    </row>
    <row r="211" spans="3:24" ht="15.85" customHeight="1">
      <c r="C211" s="270"/>
      <c r="X211" s="248"/>
    </row>
    <row r="212" spans="3:24" ht="15.85" customHeight="1">
      <c r="C212" s="270"/>
      <c r="X212" s="248"/>
    </row>
    <row r="213" spans="3:24" ht="15.85" customHeight="1">
      <c r="C213" s="270"/>
      <c r="X213" s="248"/>
    </row>
    <row r="214" spans="3:24" ht="15.85" customHeight="1">
      <c r="C214" s="270"/>
      <c r="X214" s="248"/>
    </row>
    <row r="215" spans="3:24" ht="15.85" customHeight="1">
      <c r="C215" s="270"/>
      <c r="X215" s="248"/>
    </row>
    <row r="216" spans="3:24" ht="15.85" customHeight="1">
      <c r="C216" s="270"/>
      <c r="X216" s="248"/>
    </row>
    <row r="217" spans="3:24" ht="15.85" customHeight="1">
      <c r="C217" s="270"/>
      <c r="X217" s="248"/>
    </row>
    <row r="218" spans="3:24" ht="15.85" customHeight="1">
      <c r="C218" s="270"/>
      <c r="X218" s="248"/>
    </row>
    <row r="219" spans="3:24" ht="15.85" customHeight="1">
      <c r="C219" s="270"/>
      <c r="X219" s="248"/>
    </row>
    <row r="220" spans="3:24" ht="15.85" customHeight="1">
      <c r="C220" s="270"/>
      <c r="X220" s="248"/>
    </row>
    <row r="221" spans="3:24" ht="15.85" customHeight="1">
      <c r="C221" s="270"/>
      <c r="X221" s="248"/>
    </row>
    <row r="222" spans="3:24" ht="15.85" customHeight="1">
      <c r="C222" s="270"/>
      <c r="X222" s="248"/>
    </row>
    <row r="223" spans="3:24" ht="15.85" customHeight="1">
      <c r="C223" s="270"/>
      <c r="X223" s="248"/>
    </row>
    <row r="224" spans="3:24" ht="15.85" customHeight="1">
      <c r="C224" s="270"/>
      <c r="X224" s="248"/>
    </row>
    <row r="225" spans="3:24" ht="15.85" customHeight="1">
      <c r="C225" s="270"/>
      <c r="X225" s="248"/>
    </row>
    <row r="226" spans="3:24" ht="15.85" customHeight="1">
      <c r="C226" s="270"/>
      <c r="X226" s="248"/>
    </row>
    <row r="227" spans="3:24" ht="15.85" customHeight="1">
      <c r="C227" s="270"/>
      <c r="X227" s="248"/>
    </row>
    <row r="228" spans="3:24" ht="15.85" customHeight="1">
      <c r="C228" s="270"/>
      <c r="X228" s="248"/>
    </row>
    <row r="229" spans="3:24" ht="15.85" customHeight="1">
      <c r="C229" s="270"/>
      <c r="X229" s="248"/>
    </row>
    <row r="230" spans="3:24" ht="15.85" customHeight="1">
      <c r="C230" s="270"/>
      <c r="X230" s="248"/>
    </row>
    <row r="231" spans="3:24" ht="15.85" customHeight="1">
      <c r="C231" s="270"/>
      <c r="X231" s="248"/>
    </row>
    <row r="232" spans="3:24" ht="15.85" customHeight="1">
      <c r="C232" s="270"/>
      <c r="X232" s="248"/>
    </row>
    <row r="233" spans="3:24" ht="15.85" customHeight="1">
      <c r="C233" s="270"/>
      <c r="X233" s="248"/>
    </row>
    <row r="234" spans="3:24" ht="15.85" customHeight="1">
      <c r="C234" s="270"/>
      <c r="X234" s="248"/>
    </row>
    <row r="235" spans="3:24" ht="15.85" customHeight="1">
      <c r="C235" s="270"/>
      <c r="X235" s="248"/>
    </row>
    <row r="236" spans="3:24" ht="15.85" customHeight="1">
      <c r="C236" s="270"/>
      <c r="X236" s="248"/>
    </row>
    <row r="237" spans="3:24" ht="15.85" customHeight="1">
      <c r="C237" s="270"/>
      <c r="X237" s="248"/>
    </row>
    <row r="238" spans="3:24" ht="15.85" customHeight="1">
      <c r="C238" s="270"/>
      <c r="X238" s="248"/>
    </row>
    <row r="239" spans="3:24" ht="15.85" customHeight="1">
      <c r="C239" s="270"/>
      <c r="X239" s="248"/>
    </row>
    <row r="240" spans="3:24" ht="15.85" customHeight="1">
      <c r="C240" s="270"/>
      <c r="X240" s="248"/>
    </row>
    <row r="241" spans="3:24" ht="15.85" customHeight="1">
      <c r="C241" s="270"/>
      <c r="X241" s="248"/>
    </row>
    <row r="242" spans="3:24" ht="15.85" customHeight="1">
      <c r="C242" s="270"/>
      <c r="X242" s="248"/>
    </row>
    <row r="243" spans="3:24" ht="15.85" customHeight="1">
      <c r="C243" s="270"/>
      <c r="X243" s="248"/>
    </row>
    <row r="244" spans="3:24" ht="15.85" customHeight="1">
      <c r="C244" s="270"/>
      <c r="X244" s="248"/>
    </row>
    <row r="245" spans="3:24" ht="15.85" customHeight="1">
      <c r="C245" s="270"/>
      <c r="X245" s="248"/>
    </row>
    <row r="246" spans="3:24" ht="15.85" customHeight="1">
      <c r="C246" s="270"/>
      <c r="X246" s="248"/>
    </row>
    <row r="247" spans="3:24" ht="15.85" customHeight="1">
      <c r="C247" s="270"/>
      <c r="X247" s="248"/>
    </row>
    <row r="248" spans="3:24" ht="15.85" customHeight="1">
      <c r="C248" s="270"/>
      <c r="X248" s="248"/>
    </row>
    <row r="249" spans="3:24" ht="15.85" customHeight="1">
      <c r="C249" s="270"/>
      <c r="X249" s="248"/>
    </row>
    <row r="250" spans="3:24" ht="15.85" customHeight="1">
      <c r="C250" s="270"/>
      <c r="X250" s="248"/>
    </row>
    <row r="251" spans="3:24" ht="15.85" customHeight="1">
      <c r="C251" s="270"/>
      <c r="X251" s="248"/>
    </row>
    <row r="252" spans="3:24" ht="15.85" customHeight="1">
      <c r="C252" s="270"/>
      <c r="X252" s="248"/>
    </row>
    <row r="253" spans="3:24" ht="15.85" customHeight="1">
      <c r="C253" s="270"/>
      <c r="X253" s="248"/>
    </row>
    <row r="254" spans="3:24" ht="15.85" customHeight="1">
      <c r="C254" s="270"/>
      <c r="X254" s="248"/>
    </row>
    <row r="255" spans="3:24" ht="15.85" customHeight="1">
      <c r="C255" s="270"/>
      <c r="X255" s="248"/>
    </row>
    <row r="256" spans="3:24" ht="15.85" customHeight="1">
      <c r="C256" s="270"/>
      <c r="X256" s="248"/>
    </row>
    <row r="257" spans="3:24" ht="15.85" customHeight="1">
      <c r="C257" s="270"/>
      <c r="X257" s="248"/>
    </row>
    <row r="258" spans="3:24" ht="15.85" customHeight="1">
      <c r="C258" s="270"/>
      <c r="X258" s="248"/>
    </row>
    <row r="259" spans="3:24" ht="15.85" customHeight="1">
      <c r="C259" s="270"/>
      <c r="X259" s="248"/>
    </row>
    <row r="260" spans="3:24" ht="15.85" customHeight="1">
      <c r="C260" s="270"/>
      <c r="X260" s="248"/>
    </row>
    <row r="261" spans="3:24" ht="15.85" customHeight="1">
      <c r="C261" s="270"/>
      <c r="X261" s="248"/>
    </row>
    <row r="262" spans="3:24" ht="15.85" customHeight="1">
      <c r="C262" s="270"/>
      <c r="X262" s="248"/>
    </row>
    <row r="263" spans="3:24" ht="15.85" customHeight="1">
      <c r="C263" s="270"/>
      <c r="X263" s="248"/>
    </row>
    <row r="264" spans="3:24" ht="15.85" customHeight="1">
      <c r="C264" s="270"/>
      <c r="X264" s="248"/>
    </row>
    <row r="265" spans="3:24" ht="15.85" customHeight="1">
      <c r="C265" s="270"/>
      <c r="X265" s="248"/>
    </row>
    <row r="266" spans="3:24" ht="15.85" customHeight="1">
      <c r="C266" s="270"/>
      <c r="X266" s="248"/>
    </row>
    <row r="267" spans="3:24" ht="15.85" customHeight="1">
      <c r="C267" s="270"/>
      <c r="X267" s="248"/>
    </row>
    <row r="268" spans="3:24" ht="15.85" customHeight="1">
      <c r="C268" s="270"/>
      <c r="X268" s="248"/>
    </row>
    <row r="269" spans="3:24" ht="15.85" customHeight="1">
      <c r="C269" s="270"/>
      <c r="X269" s="248"/>
    </row>
    <row r="270" spans="3:24" ht="15.85" customHeight="1">
      <c r="C270" s="270"/>
      <c r="X270" s="248"/>
    </row>
    <row r="271" spans="3:24" ht="15.85" customHeight="1">
      <c r="C271" s="270"/>
      <c r="X271" s="248"/>
    </row>
    <row r="272" spans="3:24" ht="15.85" customHeight="1">
      <c r="C272" s="270"/>
      <c r="X272" s="248"/>
    </row>
    <row r="273" spans="3:24" ht="15.85" customHeight="1">
      <c r="C273" s="270"/>
      <c r="X273" s="248"/>
    </row>
    <row r="274" spans="3:24" ht="15.85" customHeight="1">
      <c r="C274" s="270"/>
      <c r="X274" s="248"/>
    </row>
    <row r="275" spans="3:24" ht="15.85" customHeight="1">
      <c r="C275" s="270"/>
      <c r="X275" s="248"/>
    </row>
    <row r="276" spans="3:24" ht="15.85" customHeight="1">
      <c r="C276" s="270"/>
      <c r="X276" s="248"/>
    </row>
    <row r="277" spans="3:24" ht="15.85" customHeight="1">
      <c r="C277" s="270"/>
      <c r="X277" s="248"/>
    </row>
    <row r="278" spans="3:24" ht="15.85" customHeight="1">
      <c r="C278" s="270"/>
      <c r="X278" s="248"/>
    </row>
    <row r="279" spans="3:24" ht="15.85" customHeight="1">
      <c r="C279" s="270"/>
      <c r="X279" s="248"/>
    </row>
    <row r="280" spans="3:24" ht="15.85" customHeight="1">
      <c r="C280" s="270"/>
      <c r="X280" s="248"/>
    </row>
    <row r="281" spans="3:24" ht="15.85" customHeight="1">
      <c r="C281" s="270"/>
      <c r="X281" s="248"/>
    </row>
    <row r="282" spans="3:24" ht="15.85" customHeight="1">
      <c r="C282" s="270"/>
      <c r="X282" s="248"/>
    </row>
    <row r="283" spans="3:24" ht="15.85" customHeight="1">
      <c r="C283" s="270"/>
      <c r="X283" s="248"/>
    </row>
    <row r="284" spans="3:24" ht="15.85" customHeight="1">
      <c r="C284" s="270"/>
      <c r="X284" s="248"/>
    </row>
    <row r="285" spans="3:24" ht="15.85" customHeight="1">
      <c r="C285" s="270"/>
      <c r="X285" s="248"/>
    </row>
    <row r="286" spans="3:24" ht="15.85" customHeight="1">
      <c r="C286" s="270"/>
      <c r="X286" s="248"/>
    </row>
    <row r="287" spans="3:24" ht="15.85" customHeight="1">
      <c r="C287" s="270"/>
      <c r="X287" s="248"/>
    </row>
    <row r="288" spans="3:24" ht="15.85" customHeight="1">
      <c r="C288" s="270"/>
      <c r="X288" s="248"/>
    </row>
    <row r="289" spans="3:24" ht="15.85" customHeight="1">
      <c r="C289" s="270"/>
      <c r="X289" s="248"/>
    </row>
    <row r="290" spans="3:24" ht="15.85" customHeight="1">
      <c r="C290" s="270"/>
      <c r="X290" s="248"/>
    </row>
    <row r="291" spans="3:24" ht="15.85" customHeight="1">
      <c r="C291" s="270"/>
      <c r="X291" s="248"/>
    </row>
    <row r="292" spans="3:24" ht="15.85" customHeight="1">
      <c r="C292" s="270"/>
      <c r="X292" s="248"/>
    </row>
    <row r="293" spans="3:24" ht="15.85" customHeight="1">
      <c r="C293" s="270"/>
      <c r="X293" s="248"/>
    </row>
    <row r="294" spans="3:24" ht="15.85" customHeight="1">
      <c r="C294" s="270"/>
      <c r="X294" s="248"/>
    </row>
    <row r="295" spans="3:24" ht="15.85" customHeight="1">
      <c r="C295" s="270"/>
      <c r="X295" s="248"/>
    </row>
    <row r="296" spans="3:24" ht="15.85" customHeight="1">
      <c r="C296" s="270"/>
      <c r="X296" s="248"/>
    </row>
    <row r="297" spans="3:24" ht="15.85" customHeight="1">
      <c r="C297" s="270"/>
      <c r="X297" s="248"/>
    </row>
    <row r="298" spans="3:24" ht="15.85" customHeight="1">
      <c r="C298" s="270"/>
      <c r="X298" s="248"/>
    </row>
    <row r="299" spans="3:24" ht="15.85" customHeight="1">
      <c r="C299" s="270"/>
      <c r="X299" s="248"/>
    </row>
    <row r="300" spans="3:24" ht="15.85" customHeight="1">
      <c r="C300" s="270"/>
      <c r="X300" s="248"/>
    </row>
    <row r="301" spans="3:24" ht="15.85" customHeight="1">
      <c r="C301" s="270"/>
      <c r="X301" s="248"/>
    </row>
    <row r="302" spans="3:24" ht="15.85" customHeight="1">
      <c r="C302" s="270"/>
      <c r="X302" s="248"/>
    </row>
    <row r="303" spans="3:24" ht="15.85" customHeight="1">
      <c r="C303" s="270"/>
      <c r="X303" s="248"/>
    </row>
    <row r="304" spans="3:24" ht="15.85" customHeight="1">
      <c r="C304" s="270"/>
      <c r="X304" s="248"/>
    </row>
    <row r="305" spans="3:24" ht="15.85" customHeight="1">
      <c r="C305" s="270"/>
      <c r="X305" s="248"/>
    </row>
    <row r="306" spans="3:24" ht="15.85" customHeight="1">
      <c r="C306" s="270"/>
      <c r="X306" s="248"/>
    </row>
    <row r="307" spans="3:24" ht="15.85" customHeight="1">
      <c r="C307" s="270"/>
      <c r="X307" s="248"/>
    </row>
    <row r="308" spans="3:24" ht="15.85" customHeight="1">
      <c r="C308" s="270"/>
      <c r="X308" s="248"/>
    </row>
    <row r="309" spans="3:24" ht="15.85" customHeight="1">
      <c r="C309" s="270"/>
      <c r="X309" s="248"/>
    </row>
    <row r="310" spans="3:24" ht="15.85" customHeight="1">
      <c r="C310" s="270"/>
      <c r="X310" s="248"/>
    </row>
    <row r="311" spans="3:24" ht="15.85" customHeight="1">
      <c r="C311" s="270"/>
      <c r="X311" s="248"/>
    </row>
    <row r="312" spans="3:24" ht="15.85" customHeight="1">
      <c r="C312" s="270"/>
      <c r="X312" s="248"/>
    </row>
    <row r="313" spans="3:24" ht="15.85" customHeight="1">
      <c r="C313" s="270"/>
      <c r="X313" s="248"/>
    </row>
    <row r="314" spans="3:24" ht="15.85" customHeight="1">
      <c r="C314" s="270"/>
      <c r="X314" s="248"/>
    </row>
    <row r="315" spans="3:24" ht="15.85" customHeight="1">
      <c r="C315" s="270"/>
      <c r="X315" s="248"/>
    </row>
    <row r="316" spans="3:24" ht="15.85" customHeight="1">
      <c r="C316" s="270"/>
      <c r="X316" s="248"/>
    </row>
    <row r="317" spans="3:24" ht="15.85" customHeight="1">
      <c r="C317" s="270"/>
      <c r="X317" s="248"/>
    </row>
    <row r="318" spans="3:24" ht="15.85" customHeight="1">
      <c r="C318" s="270"/>
      <c r="X318" s="248"/>
    </row>
    <row r="319" spans="3:24" ht="15.85" customHeight="1">
      <c r="C319" s="270"/>
      <c r="X319" s="248"/>
    </row>
    <row r="320" spans="3:24" ht="15.85" customHeight="1">
      <c r="C320" s="270"/>
      <c r="X320" s="248"/>
    </row>
    <row r="321" spans="3:24" ht="15.85" customHeight="1">
      <c r="C321" s="270"/>
      <c r="X321" s="248"/>
    </row>
    <row r="322" spans="3:24" ht="15.85" customHeight="1">
      <c r="C322" s="270"/>
      <c r="X322" s="248"/>
    </row>
    <row r="323" spans="3:24" ht="15.85" customHeight="1">
      <c r="C323" s="270"/>
      <c r="X323" s="248"/>
    </row>
    <row r="324" spans="3:24" ht="15.85" customHeight="1">
      <c r="C324" s="270"/>
      <c r="X324" s="248"/>
    </row>
    <row r="325" spans="3:24" ht="15.85" customHeight="1">
      <c r="C325" s="270"/>
      <c r="X325" s="248"/>
    </row>
    <row r="326" spans="3:24" ht="15.85" customHeight="1">
      <c r="C326" s="270"/>
      <c r="X326" s="248"/>
    </row>
    <row r="327" spans="3:24" ht="15.85" customHeight="1">
      <c r="C327" s="270"/>
      <c r="X327" s="248"/>
    </row>
    <row r="328" spans="3:24" ht="15.85" customHeight="1">
      <c r="C328" s="270"/>
      <c r="X328" s="248"/>
    </row>
    <row r="329" spans="3:24" ht="15.85" customHeight="1">
      <c r="C329" s="270"/>
      <c r="X329" s="248"/>
    </row>
    <row r="330" spans="3:24" ht="15.85" customHeight="1">
      <c r="C330" s="270"/>
      <c r="X330" s="248"/>
    </row>
    <row r="331" spans="3:24" ht="15.85" customHeight="1">
      <c r="C331" s="270"/>
      <c r="X331" s="248"/>
    </row>
    <row r="332" spans="3:24" ht="15.85" customHeight="1">
      <c r="C332" s="270"/>
      <c r="X332" s="248"/>
    </row>
    <row r="333" spans="3:24" ht="15.85" customHeight="1">
      <c r="C333" s="270"/>
      <c r="X333" s="248"/>
    </row>
    <row r="334" spans="3:24" ht="15.85" customHeight="1">
      <c r="C334" s="270"/>
      <c r="X334" s="248"/>
    </row>
    <row r="335" spans="3:24" ht="15.85" customHeight="1">
      <c r="C335" s="270"/>
      <c r="X335" s="248"/>
    </row>
    <row r="336" spans="3:24" ht="15.85" customHeight="1">
      <c r="C336" s="270"/>
      <c r="X336" s="248"/>
    </row>
    <row r="337" spans="3:24" ht="15.85" customHeight="1">
      <c r="C337" s="270"/>
      <c r="X337" s="248"/>
    </row>
    <row r="338" spans="3:24" ht="15.85" customHeight="1">
      <c r="C338" s="270"/>
      <c r="X338" s="248"/>
    </row>
    <row r="339" spans="3:24" ht="15.85" customHeight="1">
      <c r="C339" s="270"/>
      <c r="X339" s="248"/>
    </row>
    <row r="340" spans="3:24" ht="15.85" customHeight="1">
      <c r="C340" s="270"/>
      <c r="X340" s="248"/>
    </row>
    <row r="341" spans="3:24" ht="15.85" customHeight="1">
      <c r="C341" s="270"/>
      <c r="X341" s="248"/>
    </row>
    <row r="342" spans="3:24" ht="15.85" customHeight="1">
      <c r="C342" s="270"/>
      <c r="X342" s="248"/>
    </row>
    <row r="343" spans="3:24" ht="15.85" customHeight="1">
      <c r="C343" s="270"/>
      <c r="X343" s="248"/>
    </row>
    <row r="344" spans="3:24" ht="15.85" customHeight="1">
      <c r="C344" s="270"/>
      <c r="X344" s="248"/>
    </row>
    <row r="345" spans="3:24" ht="15.85" customHeight="1">
      <c r="C345" s="270"/>
      <c r="X345" s="248"/>
    </row>
    <row r="346" spans="3:24" ht="15.85" customHeight="1">
      <c r="C346" s="270"/>
      <c r="X346" s="248"/>
    </row>
    <row r="347" spans="3:24" ht="15.85" customHeight="1">
      <c r="C347" s="270"/>
      <c r="X347" s="248"/>
    </row>
    <row r="348" spans="3:24" ht="15.85" customHeight="1">
      <c r="C348" s="270"/>
      <c r="X348" s="248"/>
    </row>
    <row r="349" spans="3:24" ht="15.85" customHeight="1">
      <c r="C349" s="270"/>
      <c r="X349" s="248"/>
    </row>
    <row r="350" spans="3:24" ht="15.85" customHeight="1">
      <c r="C350" s="270"/>
      <c r="X350" s="248"/>
    </row>
    <row r="351" spans="3:24" ht="15.85" customHeight="1">
      <c r="C351" s="270"/>
      <c r="X351" s="248"/>
    </row>
    <row r="352" spans="3:24" ht="15.85" customHeight="1">
      <c r="C352" s="270"/>
      <c r="X352" s="248"/>
    </row>
    <row r="353" spans="3:24" ht="15.85" customHeight="1">
      <c r="C353" s="270"/>
      <c r="X353" s="248"/>
    </row>
    <row r="354" spans="3:24" ht="15.85" customHeight="1">
      <c r="C354" s="270"/>
      <c r="X354" s="248"/>
    </row>
    <row r="355" spans="3:24" ht="15.85" customHeight="1">
      <c r="C355" s="270"/>
      <c r="X355" s="248"/>
    </row>
    <row r="356" spans="3:24" ht="15.85" customHeight="1">
      <c r="C356" s="270"/>
      <c r="X356" s="248"/>
    </row>
    <row r="357" spans="3:24" ht="15.85" customHeight="1">
      <c r="C357" s="270"/>
      <c r="X357" s="248"/>
    </row>
    <row r="358" spans="3:24" ht="15.85" customHeight="1">
      <c r="C358" s="270"/>
      <c r="X358" s="248"/>
    </row>
    <row r="359" spans="3:24" ht="15.85" customHeight="1">
      <c r="C359" s="270"/>
      <c r="X359" s="248"/>
    </row>
    <row r="360" spans="3:24" ht="15.85" customHeight="1">
      <c r="C360" s="270"/>
      <c r="X360" s="248"/>
    </row>
    <row r="361" spans="3:24" ht="15.85" customHeight="1">
      <c r="C361" s="270"/>
      <c r="X361" s="248"/>
    </row>
    <row r="362" spans="3:24" ht="15.85" customHeight="1">
      <c r="C362" s="270"/>
      <c r="X362" s="248"/>
    </row>
    <row r="363" spans="3:24" ht="15.85" customHeight="1">
      <c r="C363" s="270"/>
      <c r="X363" s="248"/>
    </row>
    <row r="364" spans="3:24" ht="15.85" customHeight="1">
      <c r="C364" s="270"/>
      <c r="X364" s="248"/>
    </row>
    <row r="365" spans="3:24" ht="15.85" customHeight="1">
      <c r="C365" s="270"/>
      <c r="X365" s="248"/>
    </row>
    <row r="366" spans="3:24" ht="15.85" customHeight="1">
      <c r="C366" s="270"/>
      <c r="X366" s="248"/>
    </row>
    <row r="367" spans="3:24" ht="15.85" customHeight="1">
      <c r="C367" s="270"/>
      <c r="X367" s="248"/>
    </row>
    <row r="368" spans="3:24" ht="15.85" customHeight="1">
      <c r="C368" s="270"/>
      <c r="X368" s="248"/>
    </row>
    <row r="369" spans="3:24" ht="15.85" customHeight="1">
      <c r="C369" s="270"/>
      <c r="X369" s="248"/>
    </row>
    <row r="370" spans="3:24" ht="15.85" customHeight="1">
      <c r="C370" s="270"/>
      <c r="X370" s="248"/>
    </row>
    <row r="371" spans="3:24" ht="15.85" customHeight="1">
      <c r="C371" s="270"/>
      <c r="X371" s="248"/>
    </row>
    <row r="372" spans="3:24" ht="15.85" customHeight="1">
      <c r="C372" s="270"/>
      <c r="X372" s="248"/>
    </row>
    <row r="373" spans="3:24" ht="15.85" customHeight="1">
      <c r="C373" s="270"/>
      <c r="X373" s="248"/>
    </row>
    <row r="374" spans="3:24" ht="15.85" customHeight="1">
      <c r="C374" s="270"/>
      <c r="X374" s="248"/>
    </row>
    <row r="375" spans="3:24" ht="15.85" customHeight="1">
      <c r="C375" s="270"/>
      <c r="X375" s="248"/>
    </row>
    <row r="376" spans="3:24" ht="15.85" customHeight="1">
      <c r="C376" s="270"/>
      <c r="X376" s="248"/>
    </row>
    <row r="377" spans="3:24" ht="15.85" customHeight="1">
      <c r="C377" s="270"/>
      <c r="X377" s="248"/>
    </row>
    <row r="378" spans="3:24" ht="15.85" customHeight="1">
      <c r="C378" s="270"/>
      <c r="X378" s="248"/>
    </row>
    <row r="379" spans="3:24" ht="15.85" customHeight="1">
      <c r="C379" s="270"/>
      <c r="X379" s="248"/>
    </row>
    <row r="380" spans="3:24" ht="15.85" customHeight="1">
      <c r="C380" s="270"/>
      <c r="X380" s="248"/>
    </row>
    <row r="381" spans="3:24" ht="15.85" customHeight="1">
      <c r="C381" s="270"/>
      <c r="X381" s="248"/>
    </row>
    <row r="382" spans="3:24" ht="15.85" customHeight="1">
      <c r="C382" s="270"/>
      <c r="X382" s="248"/>
    </row>
    <row r="383" spans="3:24" ht="15.85" customHeight="1">
      <c r="C383" s="270"/>
      <c r="X383" s="248"/>
    </row>
    <row r="384" spans="3:24" ht="15.85" customHeight="1">
      <c r="C384" s="270"/>
      <c r="X384" s="248"/>
    </row>
    <row r="385" spans="3:24" ht="15.85" customHeight="1">
      <c r="C385" s="270"/>
      <c r="X385" s="248"/>
    </row>
    <row r="386" spans="3:24" ht="15.85" customHeight="1">
      <c r="C386" s="270"/>
      <c r="X386" s="248"/>
    </row>
    <row r="387" spans="3:24" ht="15.85" customHeight="1">
      <c r="C387" s="270"/>
      <c r="X387" s="248"/>
    </row>
    <row r="388" spans="3:24" ht="15.85" customHeight="1">
      <c r="C388" s="270"/>
      <c r="X388" s="248"/>
    </row>
    <row r="389" spans="3:24" ht="15.85" customHeight="1">
      <c r="C389" s="270"/>
      <c r="X389" s="248"/>
    </row>
    <row r="390" spans="3:24" ht="15.85" customHeight="1">
      <c r="C390" s="270"/>
      <c r="X390" s="248"/>
    </row>
    <row r="391" spans="3:24" ht="15.85" customHeight="1">
      <c r="C391" s="270"/>
      <c r="X391" s="248"/>
    </row>
    <row r="392" spans="3:24" ht="15.85" customHeight="1">
      <c r="C392" s="270"/>
      <c r="X392" s="248"/>
    </row>
    <row r="393" spans="3:24" ht="15.85" customHeight="1">
      <c r="C393" s="270"/>
      <c r="X393" s="248"/>
    </row>
    <row r="394" spans="3:24" ht="15.85" customHeight="1">
      <c r="C394" s="270"/>
      <c r="X394" s="248"/>
    </row>
    <row r="395" spans="3:24" ht="15.85" customHeight="1">
      <c r="C395" s="270"/>
      <c r="X395" s="248"/>
    </row>
    <row r="396" spans="3:24" ht="15.85" customHeight="1">
      <c r="C396" s="270"/>
      <c r="X396" s="248"/>
    </row>
    <row r="397" spans="3:24" ht="15.85" customHeight="1">
      <c r="C397" s="270"/>
      <c r="X397" s="248"/>
    </row>
    <row r="398" spans="3:24" ht="15.85" customHeight="1">
      <c r="C398" s="270"/>
      <c r="X398" s="248"/>
    </row>
    <row r="399" spans="3:24" ht="15.85" customHeight="1">
      <c r="C399" s="270"/>
      <c r="X399" s="248"/>
    </row>
    <row r="400" spans="3:24" ht="15.85" customHeight="1">
      <c r="C400" s="270"/>
      <c r="X400" s="248"/>
    </row>
    <row r="401" spans="3:24" ht="15.85" customHeight="1">
      <c r="C401" s="270"/>
      <c r="X401" s="248"/>
    </row>
    <row r="402" spans="3:24" ht="15.85" customHeight="1">
      <c r="C402" s="270"/>
      <c r="X402" s="248"/>
    </row>
    <row r="403" spans="3:24" ht="15.85" customHeight="1">
      <c r="C403" s="270"/>
      <c r="X403" s="248"/>
    </row>
    <row r="404" spans="3:24" ht="15.85" customHeight="1">
      <c r="C404" s="270"/>
      <c r="X404" s="248"/>
    </row>
    <row r="405" spans="3:24" ht="15.85" customHeight="1">
      <c r="C405" s="270"/>
      <c r="X405" s="248"/>
    </row>
    <row r="406" spans="3:24" ht="15.85" customHeight="1">
      <c r="C406" s="270"/>
      <c r="X406" s="248"/>
    </row>
    <row r="407" spans="3:24" ht="15.85" customHeight="1">
      <c r="C407" s="270"/>
      <c r="X407" s="248"/>
    </row>
    <row r="408" spans="3:24" ht="15.85" customHeight="1">
      <c r="C408" s="270"/>
      <c r="X408" s="248"/>
    </row>
    <row r="409" spans="3:24" ht="15.85" customHeight="1">
      <c r="C409" s="270"/>
      <c r="X409" s="248"/>
    </row>
    <row r="410" spans="3:24" ht="15.85" customHeight="1">
      <c r="C410" s="270"/>
      <c r="X410" s="248"/>
    </row>
    <row r="411" spans="3:24" ht="15.85" customHeight="1">
      <c r="C411" s="270"/>
      <c r="X411" s="248"/>
    </row>
    <row r="412" spans="3:24" ht="15.85" customHeight="1">
      <c r="C412" s="270"/>
      <c r="X412" s="248"/>
    </row>
    <row r="413" spans="3:24" ht="15.85" customHeight="1">
      <c r="C413" s="270"/>
      <c r="X413" s="248"/>
    </row>
    <row r="414" spans="3:24" ht="15.85" customHeight="1">
      <c r="C414" s="270"/>
      <c r="X414" s="248"/>
    </row>
    <row r="415" spans="3:24" ht="15.85" customHeight="1">
      <c r="C415" s="270"/>
      <c r="X415" s="248"/>
    </row>
    <row r="416" spans="3:24" ht="15.85" customHeight="1">
      <c r="C416" s="270"/>
      <c r="X416" s="248"/>
    </row>
    <row r="417" spans="3:24" ht="15.85" customHeight="1">
      <c r="C417" s="270"/>
      <c r="X417" s="248"/>
    </row>
    <row r="418" spans="3:24" ht="15.85" customHeight="1">
      <c r="C418" s="270"/>
      <c r="X418" s="248"/>
    </row>
    <row r="419" spans="3:24" ht="15.85" customHeight="1">
      <c r="C419" s="270"/>
      <c r="X419" s="248"/>
    </row>
    <row r="420" spans="3:24" ht="15.85" customHeight="1">
      <c r="C420" s="270"/>
      <c r="X420" s="248"/>
    </row>
    <row r="421" spans="3:24" ht="15.85" customHeight="1">
      <c r="C421" s="270"/>
      <c r="X421" s="248"/>
    </row>
    <row r="422" spans="3:24" ht="15.85" customHeight="1">
      <c r="C422" s="270"/>
      <c r="X422" s="248"/>
    </row>
    <row r="423" spans="3:24" ht="15.85" customHeight="1">
      <c r="C423" s="270"/>
      <c r="X423" s="248"/>
    </row>
    <row r="424" spans="3:24" ht="15.85" customHeight="1">
      <c r="C424" s="270"/>
      <c r="X424" s="248"/>
    </row>
    <row r="425" spans="3:24" ht="15.85" customHeight="1">
      <c r="C425" s="270"/>
      <c r="X425" s="248"/>
    </row>
    <row r="426" spans="3:24" ht="15.85" customHeight="1">
      <c r="C426" s="270"/>
      <c r="X426" s="248"/>
    </row>
    <row r="427" spans="3:24" ht="15.85" customHeight="1">
      <c r="C427" s="270"/>
      <c r="X427" s="248"/>
    </row>
    <row r="428" spans="3:24" ht="15.85" customHeight="1">
      <c r="C428" s="270"/>
      <c r="X428" s="248"/>
    </row>
    <row r="429" spans="3:24" ht="15.85" customHeight="1">
      <c r="C429" s="270"/>
      <c r="X429" s="248"/>
    </row>
    <row r="430" spans="3:24" ht="15.85" customHeight="1">
      <c r="C430" s="270"/>
      <c r="X430" s="248"/>
    </row>
    <row r="431" spans="3:24" ht="15.85" customHeight="1">
      <c r="C431" s="270"/>
      <c r="X431" s="248"/>
    </row>
    <row r="432" spans="3:24" ht="15.85" customHeight="1">
      <c r="C432" s="270"/>
      <c r="X432" s="248"/>
    </row>
    <row r="433" spans="3:24" ht="15.85" customHeight="1">
      <c r="C433" s="270"/>
      <c r="X433" s="248"/>
    </row>
    <row r="434" spans="3:24" ht="15.85" customHeight="1">
      <c r="C434" s="270"/>
      <c r="X434" s="248"/>
    </row>
    <row r="435" spans="3:24" ht="15.85" customHeight="1">
      <c r="C435" s="270"/>
      <c r="X435" s="248"/>
    </row>
    <row r="436" spans="3:24" ht="15.85" customHeight="1">
      <c r="C436" s="270"/>
      <c r="X436" s="248"/>
    </row>
    <row r="437" spans="3:24" ht="15.85" customHeight="1">
      <c r="C437" s="270"/>
      <c r="X437" s="248"/>
    </row>
    <row r="438" spans="3:24" ht="15.85" customHeight="1">
      <c r="C438" s="270"/>
      <c r="X438" s="248"/>
    </row>
    <row r="439" spans="3:24" ht="15.85" customHeight="1">
      <c r="C439" s="270"/>
      <c r="X439" s="248"/>
    </row>
    <row r="440" spans="3:24" ht="15.85" customHeight="1">
      <c r="C440" s="270"/>
      <c r="X440" s="248"/>
    </row>
    <row r="441" spans="3:24" ht="15.85" customHeight="1">
      <c r="C441" s="270"/>
      <c r="X441" s="248"/>
    </row>
    <row r="442" spans="3:24" ht="15.85" customHeight="1">
      <c r="C442" s="270"/>
      <c r="X442" s="248"/>
    </row>
    <row r="443" spans="3:24" ht="15.85" customHeight="1">
      <c r="C443" s="270"/>
      <c r="X443" s="248"/>
    </row>
    <row r="444" spans="3:24" ht="15.85" customHeight="1">
      <c r="C444" s="270"/>
      <c r="X444" s="248"/>
    </row>
    <row r="445" spans="3:24" ht="15.85" customHeight="1">
      <c r="C445" s="270"/>
      <c r="X445" s="248"/>
    </row>
    <row r="446" spans="3:24" ht="15.85" customHeight="1">
      <c r="C446" s="270"/>
      <c r="X446" s="248"/>
    </row>
    <row r="447" spans="3:24" ht="15.85" customHeight="1">
      <c r="C447" s="270"/>
      <c r="X447" s="248"/>
    </row>
    <row r="448" spans="3:24" ht="15.85" customHeight="1">
      <c r="C448" s="270"/>
      <c r="X448" s="248"/>
    </row>
    <row r="449" spans="3:24" ht="15.85" customHeight="1">
      <c r="C449" s="270"/>
      <c r="X449" s="248"/>
    </row>
    <row r="450" spans="3:24" ht="15.85" customHeight="1">
      <c r="C450" s="270"/>
      <c r="X450" s="248"/>
    </row>
    <row r="451" spans="3:24" ht="15.85" customHeight="1">
      <c r="C451" s="270"/>
      <c r="X451" s="248"/>
    </row>
    <row r="452" spans="3:24" ht="15.85" customHeight="1">
      <c r="C452" s="270"/>
      <c r="X452" s="248"/>
    </row>
    <row r="453" spans="3:24" ht="15.85" customHeight="1">
      <c r="C453" s="270"/>
      <c r="X453" s="248"/>
    </row>
    <row r="454" spans="3:24" ht="15.85" customHeight="1">
      <c r="C454" s="270"/>
      <c r="X454" s="248"/>
    </row>
    <row r="455" spans="3:24" ht="15.85" customHeight="1">
      <c r="C455" s="270"/>
      <c r="X455" s="248"/>
    </row>
    <row r="456" spans="3:24" ht="15.85" customHeight="1">
      <c r="C456" s="270"/>
      <c r="X456" s="248"/>
    </row>
    <row r="457" spans="3:24" ht="15.85" customHeight="1">
      <c r="C457" s="270"/>
      <c r="X457" s="248"/>
    </row>
    <row r="458" spans="3:24" ht="15.85" customHeight="1">
      <c r="C458" s="270"/>
      <c r="X458" s="248"/>
    </row>
    <row r="459" spans="3:24" ht="15.85" customHeight="1">
      <c r="C459" s="270"/>
      <c r="X459" s="248"/>
    </row>
    <row r="460" spans="3:24" ht="15.85" customHeight="1">
      <c r="C460" s="270"/>
      <c r="X460" s="248"/>
    </row>
    <row r="461" spans="3:24" ht="15.85" customHeight="1">
      <c r="C461" s="270"/>
      <c r="X461" s="248"/>
    </row>
    <row r="462" spans="3:24" ht="15.85" customHeight="1">
      <c r="C462" s="270"/>
      <c r="X462" s="248"/>
    </row>
    <row r="463" spans="3:24" ht="15.85" customHeight="1">
      <c r="C463" s="270"/>
      <c r="X463" s="248"/>
    </row>
    <row r="464" spans="3:24" ht="15.85" customHeight="1">
      <c r="C464" s="270"/>
      <c r="X464" s="248"/>
    </row>
    <row r="465" spans="3:24" ht="15.85" customHeight="1">
      <c r="C465" s="270"/>
      <c r="X465" s="248"/>
    </row>
    <row r="466" spans="3:24" ht="15.85" customHeight="1">
      <c r="C466" s="270"/>
      <c r="X466" s="248"/>
    </row>
    <row r="467" spans="3:24" ht="15.85" customHeight="1">
      <c r="C467" s="270"/>
      <c r="X467" s="248"/>
    </row>
    <row r="468" spans="3:24" ht="15.85" customHeight="1">
      <c r="C468" s="270"/>
      <c r="X468" s="248"/>
    </row>
    <row r="469" spans="3:24" ht="15.85" customHeight="1">
      <c r="C469" s="270"/>
      <c r="X469" s="248"/>
    </row>
    <row r="470" spans="3:24" ht="15.85" customHeight="1">
      <c r="C470" s="270"/>
      <c r="X470" s="248"/>
    </row>
    <row r="471" spans="3:24" ht="15.85" customHeight="1">
      <c r="C471" s="270"/>
      <c r="X471" s="248"/>
    </row>
    <row r="472" spans="3:24" ht="15.85" customHeight="1">
      <c r="C472" s="270"/>
      <c r="X472" s="248"/>
    </row>
    <row r="473" spans="3:24" ht="15.85" customHeight="1">
      <c r="C473" s="270"/>
      <c r="X473" s="248"/>
    </row>
    <row r="474" spans="3:24" ht="15.85" customHeight="1">
      <c r="C474" s="270"/>
      <c r="X474" s="248"/>
    </row>
    <row r="475" spans="3:24" ht="15.85" customHeight="1">
      <c r="C475" s="270"/>
      <c r="X475" s="248"/>
    </row>
    <row r="476" spans="3:24" ht="15.85" customHeight="1">
      <c r="C476" s="270"/>
      <c r="X476" s="248"/>
    </row>
    <row r="477" spans="3:24" ht="15.85" customHeight="1">
      <c r="C477" s="270"/>
      <c r="X477" s="248"/>
    </row>
    <row r="478" spans="3:24" ht="15.85" customHeight="1">
      <c r="C478" s="270"/>
      <c r="X478" s="248"/>
    </row>
    <row r="479" spans="3:24" ht="15.85" customHeight="1">
      <c r="C479" s="270"/>
      <c r="X479" s="248"/>
    </row>
    <row r="480" spans="3:24" ht="15.85" customHeight="1">
      <c r="C480" s="270"/>
      <c r="X480" s="248"/>
    </row>
    <row r="481" spans="3:24" ht="15.85" customHeight="1">
      <c r="C481" s="270"/>
      <c r="X481" s="248"/>
    </row>
    <row r="482" spans="3:24" ht="15.85" customHeight="1">
      <c r="C482" s="270"/>
      <c r="X482" s="248"/>
    </row>
    <row r="483" spans="3:24" ht="15.85" customHeight="1">
      <c r="C483" s="270"/>
      <c r="X483" s="248"/>
    </row>
    <row r="484" spans="3:24" ht="15.85" customHeight="1">
      <c r="C484" s="270"/>
      <c r="X484" s="248"/>
    </row>
    <row r="485" spans="3:24" ht="15.85" customHeight="1">
      <c r="C485" s="270"/>
      <c r="X485" s="248"/>
    </row>
    <row r="486" spans="3:24" ht="15.85" customHeight="1">
      <c r="C486" s="270"/>
      <c r="X486" s="248"/>
    </row>
    <row r="487" spans="3:24" ht="15.85" customHeight="1">
      <c r="C487" s="270"/>
      <c r="X487" s="248"/>
    </row>
    <row r="488" spans="3:24" ht="15.85" customHeight="1">
      <c r="C488" s="270"/>
      <c r="X488" s="248"/>
    </row>
    <row r="489" spans="3:24" ht="15.85" customHeight="1">
      <c r="C489" s="270"/>
      <c r="X489" s="248"/>
    </row>
    <row r="490" spans="3:24" ht="15.85" customHeight="1">
      <c r="C490" s="270"/>
      <c r="X490" s="248"/>
    </row>
    <row r="491" spans="3:24" ht="15.85" customHeight="1">
      <c r="C491" s="270"/>
      <c r="X491" s="248"/>
    </row>
    <row r="492" spans="3:24" ht="15.85" customHeight="1">
      <c r="C492" s="270"/>
      <c r="X492" s="248"/>
    </row>
    <row r="493" spans="3:24" ht="15.85" customHeight="1">
      <c r="C493" s="270"/>
      <c r="X493" s="248"/>
    </row>
    <row r="494" spans="3:24" ht="15.85" customHeight="1">
      <c r="C494" s="270"/>
      <c r="X494" s="248"/>
    </row>
    <row r="495" spans="3:24" ht="15.85" customHeight="1">
      <c r="C495" s="270"/>
      <c r="X495" s="248"/>
    </row>
    <row r="496" spans="3:24" ht="15.85" customHeight="1">
      <c r="C496" s="270"/>
      <c r="X496" s="248"/>
    </row>
    <row r="497" spans="3:24" ht="15.85" customHeight="1">
      <c r="C497" s="270"/>
      <c r="X497" s="248"/>
    </row>
    <row r="498" spans="3:24" ht="15.85" customHeight="1">
      <c r="C498" s="270"/>
      <c r="X498" s="248"/>
    </row>
    <row r="499" spans="3:24" ht="15.85" customHeight="1">
      <c r="C499" s="270"/>
      <c r="X499" s="248"/>
    </row>
    <row r="500" spans="3:24" ht="15.85" customHeight="1">
      <c r="C500" s="270"/>
      <c r="X500" s="248"/>
    </row>
    <row r="501" spans="3:24" ht="15.85" customHeight="1">
      <c r="C501" s="270"/>
      <c r="X501" s="248"/>
    </row>
    <row r="502" spans="3:24" ht="15.85" customHeight="1">
      <c r="C502" s="270"/>
      <c r="X502" s="248"/>
    </row>
    <row r="503" spans="3:24" ht="15.85" customHeight="1">
      <c r="C503" s="270"/>
      <c r="X503" s="248"/>
    </row>
    <row r="504" spans="3:24" ht="15.85" customHeight="1">
      <c r="C504" s="270"/>
      <c r="X504" s="248"/>
    </row>
    <row r="505" spans="3:24" ht="15.85" customHeight="1">
      <c r="C505" s="270"/>
      <c r="X505" s="248"/>
    </row>
    <row r="506" spans="3:24" ht="15.85" customHeight="1">
      <c r="C506" s="270"/>
      <c r="X506" s="248"/>
    </row>
    <row r="507" spans="3:24" ht="15.85" customHeight="1">
      <c r="C507" s="270"/>
      <c r="X507" s="248"/>
    </row>
    <row r="508" spans="3:24" ht="15.85" customHeight="1">
      <c r="C508" s="270"/>
      <c r="X508" s="248"/>
    </row>
    <row r="509" spans="3:24" ht="15.85" customHeight="1">
      <c r="C509" s="270"/>
      <c r="X509" s="248"/>
    </row>
    <row r="510" spans="3:24" ht="15.85" customHeight="1">
      <c r="C510" s="270"/>
      <c r="X510" s="248"/>
    </row>
    <row r="511" spans="3:24" ht="15.85" customHeight="1">
      <c r="C511" s="270"/>
      <c r="X511" s="248"/>
    </row>
    <row r="512" spans="3:24" ht="15.85" customHeight="1">
      <c r="C512" s="270"/>
      <c r="X512" s="248"/>
    </row>
    <row r="513" spans="3:24" ht="15.85" customHeight="1">
      <c r="C513" s="270"/>
      <c r="X513" s="248"/>
    </row>
    <row r="514" spans="3:24" ht="15.85" customHeight="1">
      <c r="C514" s="270"/>
      <c r="X514" s="248"/>
    </row>
    <row r="515" spans="3:24" ht="15.85" customHeight="1">
      <c r="C515" s="270"/>
      <c r="X515" s="248"/>
    </row>
    <row r="516" spans="3:24" ht="15.85" customHeight="1">
      <c r="C516" s="270"/>
      <c r="X516" s="248"/>
    </row>
    <row r="517" spans="3:24" ht="15.85" customHeight="1">
      <c r="C517" s="270"/>
      <c r="X517" s="248"/>
    </row>
    <row r="518" spans="3:24" ht="15.85" customHeight="1">
      <c r="C518" s="270"/>
      <c r="X518" s="248"/>
    </row>
    <row r="519" spans="3:24" ht="15.85" customHeight="1">
      <c r="C519" s="270"/>
      <c r="X519" s="248"/>
    </row>
    <row r="520" spans="3:24" ht="15.85" customHeight="1">
      <c r="C520" s="270"/>
      <c r="X520" s="248"/>
    </row>
    <row r="521" spans="3:24" ht="15.85" customHeight="1">
      <c r="C521" s="270"/>
      <c r="X521" s="248"/>
    </row>
    <row r="522" spans="3:24" ht="15.85" customHeight="1">
      <c r="C522" s="270"/>
      <c r="X522" s="248"/>
    </row>
    <row r="523" spans="3:24" ht="15.85" customHeight="1">
      <c r="C523" s="270"/>
      <c r="X523" s="248"/>
    </row>
    <row r="524" spans="3:24" ht="15.85" customHeight="1">
      <c r="C524" s="270"/>
      <c r="X524" s="248"/>
    </row>
    <row r="525" spans="3:24" ht="15.85" customHeight="1">
      <c r="C525" s="270"/>
      <c r="X525" s="248"/>
    </row>
    <row r="526" spans="3:24" ht="15.85" customHeight="1">
      <c r="C526" s="270"/>
      <c r="X526" s="248"/>
    </row>
    <row r="527" spans="3:24" ht="15.85" customHeight="1">
      <c r="C527" s="270"/>
      <c r="X527" s="248"/>
    </row>
    <row r="528" spans="3:24" ht="15.85" customHeight="1">
      <c r="C528" s="270"/>
      <c r="X528" s="248"/>
    </row>
    <row r="529" spans="3:24" ht="15.85" customHeight="1">
      <c r="C529" s="270"/>
      <c r="X529" s="248"/>
    </row>
    <row r="530" spans="3:24" ht="15.85" customHeight="1">
      <c r="C530" s="270"/>
      <c r="X530" s="248"/>
    </row>
    <row r="531" spans="3:24" ht="15.85" customHeight="1">
      <c r="C531" s="270"/>
      <c r="X531" s="248"/>
    </row>
    <row r="532" spans="3:24" ht="15.85" customHeight="1">
      <c r="C532" s="270"/>
      <c r="X532" s="248"/>
    </row>
    <row r="533" spans="3:24" ht="15.85" customHeight="1">
      <c r="C533" s="270"/>
      <c r="X533" s="248"/>
    </row>
    <row r="534" spans="3:24" ht="15.85" customHeight="1">
      <c r="C534" s="270"/>
      <c r="X534" s="248"/>
    </row>
    <row r="535" spans="3:24" ht="15.85" customHeight="1">
      <c r="C535" s="270"/>
      <c r="X535" s="248"/>
    </row>
    <row r="536" spans="3:24" ht="15.85" customHeight="1">
      <c r="C536" s="270"/>
      <c r="X536" s="248"/>
    </row>
    <row r="537" spans="3:24" ht="15.85" customHeight="1">
      <c r="C537" s="270"/>
      <c r="X537" s="248"/>
    </row>
    <row r="538" spans="3:24" ht="15.85" customHeight="1">
      <c r="C538" s="270"/>
      <c r="X538" s="248"/>
    </row>
    <row r="539" spans="3:24" ht="15.85" customHeight="1">
      <c r="C539" s="270"/>
      <c r="X539" s="248"/>
    </row>
    <row r="540" spans="3:24" ht="15.85" customHeight="1">
      <c r="C540" s="270"/>
      <c r="X540" s="248"/>
    </row>
    <row r="541" spans="3:24" ht="15.85" customHeight="1">
      <c r="C541" s="270"/>
      <c r="X541" s="248"/>
    </row>
    <row r="542" spans="3:24" ht="15.85" customHeight="1">
      <c r="C542" s="270"/>
      <c r="X542" s="248"/>
    </row>
    <row r="543" spans="3:24" ht="15.85" customHeight="1">
      <c r="C543" s="270"/>
      <c r="X543" s="248"/>
    </row>
    <row r="544" spans="3:24" ht="15.85" customHeight="1">
      <c r="C544" s="270"/>
      <c r="X544" s="248"/>
    </row>
    <row r="545" spans="3:24" ht="15.85" customHeight="1">
      <c r="C545" s="270"/>
      <c r="X545" s="248"/>
    </row>
    <row r="546" spans="3:24" ht="15.85" customHeight="1">
      <c r="C546" s="270"/>
      <c r="X546" s="248"/>
    </row>
    <row r="547" spans="3:24" ht="15.85" customHeight="1">
      <c r="C547" s="270"/>
      <c r="X547" s="248"/>
    </row>
    <row r="548" spans="3:24" ht="15.85" customHeight="1">
      <c r="C548" s="270"/>
      <c r="X548" s="248"/>
    </row>
    <row r="549" spans="3:24" ht="15.85" customHeight="1">
      <c r="C549" s="270"/>
      <c r="X549" s="248"/>
    </row>
    <row r="550" spans="3:24" ht="15.85" customHeight="1">
      <c r="C550" s="270"/>
      <c r="X550" s="248"/>
    </row>
    <row r="551" spans="3:24" ht="15.85" customHeight="1">
      <c r="C551" s="270"/>
      <c r="X551" s="248"/>
    </row>
    <row r="552" spans="3:24" ht="15.85" customHeight="1">
      <c r="C552" s="270"/>
      <c r="X552" s="248"/>
    </row>
    <row r="553" spans="3:24" ht="15.85" customHeight="1">
      <c r="C553" s="270"/>
      <c r="X553" s="248"/>
    </row>
    <row r="554" spans="3:24" ht="15.85" customHeight="1">
      <c r="C554" s="270"/>
      <c r="X554" s="248"/>
    </row>
    <row r="555" spans="3:24" ht="15.85" customHeight="1">
      <c r="C555" s="270"/>
      <c r="X555" s="248"/>
    </row>
    <row r="556" spans="3:24" ht="15.85" customHeight="1">
      <c r="C556" s="270"/>
      <c r="X556" s="248"/>
    </row>
    <row r="557" spans="3:24" ht="15.85" customHeight="1">
      <c r="C557" s="270"/>
      <c r="X557" s="248"/>
    </row>
    <row r="558" spans="3:24" ht="15.85" customHeight="1">
      <c r="C558" s="270"/>
      <c r="X558" s="248"/>
    </row>
    <row r="559" spans="3:24" ht="15.85" customHeight="1">
      <c r="C559" s="270"/>
      <c r="X559" s="248"/>
    </row>
    <row r="560" spans="3:24" ht="15.85" customHeight="1">
      <c r="C560" s="270"/>
      <c r="X560" s="248"/>
    </row>
    <row r="561" spans="3:24" ht="15.85" customHeight="1">
      <c r="C561" s="270"/>
      <c r="X561" s="248"/>
    </row>
    <row r="562" spans="3:24" ht="15.85" customHeight="1">
      <c r="C562" s="270"/>
      <c r="X562" s="248"/>
    </row>
    <row r="563" spans="3:24" ht="15.85" customHeight="1">
      <c r="C563" s="270"/>
      <c r="X563" s="248"/>
    </row>
    <row r="564" spans="3:24" ht="15.85" customHeight="1">
      <c r="C564" s="270"/>
      <c r="X564" s="248"/>
    </row>
    <row r="565" spans="3:24" ht="15.85" customHeight="1">
      <c r="C565" s="270"/>
      <c r="X565" s="248"/>
    </row>
    <row r="566" spans="3:24" ht="15.85" customHeight="1">
      <c r="C566" s="270"/>
      <c r="X566" s="248"/>
    </row>
    <row r="567" spans="3:24" ht="15.85" customHeight="1">
      <c r="C567" s="270"/>
      <c r="X567" s="248"/>
    </row>
    <row r="568" spans="3:24" ht="15.85" customHeight="1">
      <c r="C568" s="270"/>
      <c r="X568" s="248"/>
    </row>
    <row r="569" spans="3:24" ht="15.85" customHeight="1">
      <c r="C569" s="270"/>
      <c r="X569" s="248"/>
    </row>
    <row r="570" spans="3:24" ht="15.85" customHeight="1">
      <c r="C570" s="270"/>
      <c r="X570" s="248"/>
    </row>
    <row r="571" spans="3:24" ht="15.85" customHeight="1">
      <c r="C571" s="270"/>
      <c r="X571" s="248"/>
    </row>
    <row r="572" spans="3:24" ht="15.85" customHeight="1">
      <c r="C572" s="270"/>
      <c r="X572" s="248"/>
    </row>
    <row r="573" spans="3:24" ht="15.85" customHeight="1">
      <c r="C573" s="270"/>
      <c r="X573" s="248"/>
    </row>
    <row r="574" spans="3:24" ht="15.85" customHeight="1">
      <c r="C574" s="270"/>
      <c r="X574" s="248"/>
    </row>
    <row r="575" spans="3:24" ht="15.85" customHeight="1">
      <c r="C575" s="270"/>
      <c r="X575" s="248"/>
    </row>
    <row r="576" spans="3:24" ht="15.85" customHeight="1">
      <c r="C576" s="270"/>
      <c r="X576" s="248"/>
    </row>
    <row r="577" spans="3:24" ht="15.85" customHeight="1">
      <c r="C577" s="270"/>
      <c r="X577" s="248"/>
    </row>
    <row r="578" spans="3:24" ht="15.85" customHeight="1">
      <c r="C578" s="270"/>
      <c r="X578" s="248"/>
    </row>
    <row r="579" spans="3:24" ht="15.85" customHeight="1">
      <c r="C579" s="270"/>
      <c r="X579" s="248"/>
    </row>
    <row r="580" spans="3:24" ht="15.85" customHeight="1">
      <c r="C580" s="270"/>
      <c r="X580" s="248"/>
    </row>
    <row r="581" spans="3:24" ht="15.85" customHeight="1">
      <c r="C581" s="270"/>
      <c r="X581" s="248"/>
    </row>
    <row r="582" spans="3:24" ht="15.85" customHeight="1">
      <c r="C582" s="270"/>
      <c r="X582" s="248"/>
    </row>
    <row r="583" spans="3:24" ht="15.85" customHeight="1">
      <c r="C583" s="270"/>
      <c r="X583" s="248"/>
    </row>
    <row r="584" spans="3:24" ht="15.85" customHeight="1">
      <c r="C584" s="270"/>
      <c r="X584" s="248"/>
    </row>
    <row r="585" spans="3:24" ht="15.85" customHeight="1">
      <c r="C585" s="270"/>
      <c r="X585" s="248"/>
    </row>
    <row r="586" spans="3:24" ht="15.85" customHeight="1">
      <c r="C586" s="270"/>
      <c r="X586" s="248"/>
    </row>
    <row r="587" spans="3:24" ht="15.85" customHeight="1">
      <c r="C587" s="270"/>
      <c r="X587" s="248"/>
    </row>
    <row r="588" spans="3:24" ht="15.85" customHeight="1">
      <c r="C588" s="270"/>
      <c r="X588" s="248"/>
    </row>
    <row r="589" spans="3:24" ht="15.85" customHeight="1">
      <c r="C589" s="270"/>
      <c r="X589" s="248"/>
    </row>
    <row r="590" spans="3:24" ht="15.85" customHeight="1">
      <c r="C590" s="270"/>
      <c r="X590" s="248"/>
    </row>
    <row r="591" spans="3:24" ht="15.85" customHeight="1">
      <c r="C591" s="270"/>
      <c r="X591" s="248"/>
    </row>
    <row r="592" spans="3:24" ht="15.85" customHeight="1">
      <c r="C592" s="270"/>
      <c r="X592" s="248"/>
    </row>
    <row r="593" spans="3:24" ht="15.85" customHeight="1">
      <c r="C593" s="270"/>
      <c r="X593" s="248"/>
    </row>
    <row r="594" spans="3:24" ht="15.85" customHeight="1">
      <c r="C594" s="270"/>
      <c r="X594" s="248"/>
    </row>
    <row r="595" spans="3:24" ht="15.85" customHeight="1">
      <c r="C595" s="270"/>
      <c r="X595" s="248"/>
    </row>
    <row r="596" spans="3:24" ht="15.85" customHeight="1">
      <c r="C596" s="270"/>
      <c r="X596" s="248"/>
    </row>
    <row r="597" spans="3:24" ht="15.85" customHeight="1">
      <c r="C597" s="270"/>
      <c r="X597" s="248"/>
    </row>
    <row r="598" spans="3:24" ht="15.85" customHeight="1">
      <c r="C598" s="270"/>
      <c r="X598" s="248"/>
    </row>
    <row r="599" spans="3:24" ht="15.85" customHeight="1">
      <c r="C599" s="270"/>
      <c r="X599" s="248"/>
    </row>
    <row r="600" spans="3:24" ht="15.85" customHeight="1">
      <c r="C600" s="270"/>
      <c r="X600" s="248"/>
    </row>
    <row r="601" spans="3:24" ht="15.85" customHeight="1">
      <c r="C601" s="270"/>
      <c r="X601" s="248"/>
    </row>
    <row r="602" spans="3:24" ht="15.85" customHeight="1">
      <c r="C602" s="270"/>
      <c r="X602" s="248"/>
    </row>
    <row r="603" spans="3:24" ht="15.85" customHeight="1">
      <c r="C603" s="270"/>
      <c r="X603" s="248"/>
    </row>
    <row r="604" spans="3:24" ht="15.85" customHeight="1">
      <c r="C604" s="270"/>
      <c r="X604" s="248"/>
    </row>
    <row r="605" spans="3:24" ht="15.85" customHeight="1">
      <c r="C605" s="270"/>
      <c r="X605" s="248"/>
    </row>
    <row r="606" spans="3:24" ht="15.85" customHeight="1">
      <c r="C606" s="270"/>
      <c r="X606" s="248"/>
    </row>
    <row r="607" spans="3:24" ht="15.85" customHeight="1">
      <c r="C607" s="270"/>
      <c r="X607" s="248"/>
    </row>
    <row r="608" spans="3:24" ht="15.85" customHeight="1">
      <c r="C608" s="270"/>
      <c r="X608" s="248"/>
    </row>
    <row r="609" spans="3:24" ht="15.85" customHeight="1">
      <c r="C609" s="270"/>
      <c r="X609" s="248"/>
    </row>
    <row r="610" spans="3:24" ht="15.85" customHeight="1">
      <c r="C610" s="270"/>
      <c r="X610" s="248"/>
    </row>
    <row r="611" spans="3:24" ht="15.85" customHeight="1">
      <c r="C611" s="270"/>
      <c r="X611" s="248"/>
    </row>
    <row r="612" spans="3:24" ht="15.85" customHeight="1">
      <c r="C612" s="270"/>
      <c r="X612" s="248"/>
    </row>
    <row r="613" spans="3:24" ht="15.85" customHeight="1">
      <c r="C613" s="270"/>
      <c r="X613" s="248"/>
    </row>
    <row r="614" spans="3:24" ht="15.85" customHeight="1">
      <c r="C614" s="270"/>
      <c r="X614" s="248"/>
    </row>
    <row r="615" spans="3:24" ht="15.85" customHeight="1">
      <c r="C615" s="270"/>
      <c r="X615" s="248"/>
    </row>
    <row r="616" spans="3:24" ht="15.85" customHeight="1">
      <c r="C616" s="270"/>
      <c r="X616" s="248"/>
    </row>
    <row r="617" spans="3:24" ht="15.85" customHeight="1">
      <c r="C617" s="270"/>
      <c r="X617" s="248"/>
    </row>
    <row r="618" spans="3:24" ht="15.85" customHeight="1">
      <c r="C618" s="270"/>
      <c r="X618" s="248"/>
    </row>
    <row r="619" spans="3:24" ht="15.85" customHeight="1">
      <c r="C619" s="270"/>
      <c r="X619" s="248"/>
    </row>
    <row r="620" spans="3:24" ht="15.85" customHeight="1">
      <c r="C620" s="270"/>
      <c r="X620" s="248"/>
    </row>
    <row r="621" spans="3:24" ht="15.85" customHeight="1">
      <c r="C621" s="270"/>
      <c r="X621" s="248"/>
    </row>
    <row r="622" spans="3:24" ht="15.85" customHeight="1">
      <c r="C622" s="270"/>
      <c r="X622" s="248"/>
    </row>
    <row r="623" spans="3:24" ht="15.85" customHeight="1">
      <c r="C623" s="270"/>
      <c r="X623" s="248"/>
    </row>
    <row r="624" spans="3:24" ht="15.85" customHeight="1">
      <c r="C624" s="270"/>
      <c r="X624" s="248"/>
    </row>
    <row r="625" spans="3:24" ht="15.85" customHeight="1">
      <c r="C625" s="270"/>
      <c r="X625" s="248"/>
    </row>
    <row r="626" spans="3:24" ht="15.85" customHeight="1">
      <c r="C626" s="270"/>
      <c r="X626" s="248"/>
    </row>
    <row r="627" spans="3:24" ht="15.85" customHeight="1">
      <c r="C627" s="270"/>
      <c r="X627" s="248"/>
    </row>
    <row r="628" spans="3:24" ht="15.85" customHeight="1">
      <c r="C628" s="270"/>
      <c r="X628" s="248"/>
    </row>
    <row r="629" spans="3:24" ht="15.85" customHeight="1">
      <c r="C629" s="270"/>
      <c r="X629" s="248"/>
    </row>
    <row r="630" spans="3:24" ht="15.85" customHeight="1">
      <c r="C630" s="270"/>
      <c r="X630" s="248"/>
    </row>
    <row r="631" spans="3:24" ht="15.85" customHeight="1">
      <c r="C631" s="270"/>
      <c r="X631" s="248"/>
    </row>
    <row r="632" spans="3:24" ht="15.85" customHeight="1">
      <c r="C632" s="270"/>
      <c r="X632" s="248"/>
    </row>
    <row r="633" spans="3:24" ht="15.85" customHeight="1">
      <c r="C633" s="270"/>
      <c r="X633" s="248"/>
    </row>
    <row r="634" spans="3:24" ht="15.85" customHeight="1">
      <c r="C634" s="270"/>
      <c r="X634" s="248"/>
    </row>
    <row r="635" spans="3:24" ht="15.85" customHeight="1">
      <c r="C635" s="270"/>
      <c r="X635" s="248"/>
    </row>
    <row r="636" spans="3:24" ht="15.85" customHeight="1">
      <c r="C636" s="270"/>
      <c r="X636" s="248"/>
    </row>
    <row r="637" spans="3:24" ht="15.85" customHeight="1">
      <c r="C637" s="270"/>
      <c r="X637" s="248"/>
    </row>
    <row r="638" spans="3:24" ht="15.85" customHeight="1">
      <c r="C638" s="270"/>
      <c r="X638" s="248"/>
    </row>
    <row r="639" spans="3:24" ht="15.85" customHeight="1">
      <c r="C639" s="270"/>
      <c r="X639" s="248"/>
    </row>
    <row r="640" spans="3:24" ht="15.85" customHeight="1">
      <c r="C640" s="270"/>
      <c r="X640" s="248"/>
    </row>
    <row r="641" spans="3:24" ht="15.85" customHeight="1">
      <c r="C641" s="270"/>
      <c r="X641" s="248"/>
    </row>
    <row r="642" spans="3:24" ht="15.85" customHeight="1">
      <c r="C642" s="270"/>
      <c r="X642" s="248"/>
    </row>
    <row r="643" spans="3:24" ht="15.85" customHeight="1">
      <c r="C643" s="270"/>
      <c r="X643" s="248"/>
    </row>
    <row r="644" spans="3:24" ht="15.85" customHeight="1">
      <c r="C644" s="270"/>
      <c r="X644" s="248"/>
    </row>
    <row r="645" spans="3:24" ht="15.85" customHeight="1">
      <c r="C645" s="270"/>
      <c r="X645" s="248"/>
    </row>
    <row r="646" spans="3:24" ht="15.85" customHeight="1">
      <c r="C646" s="270"/>
      <c r="X646" s="248"/>
    </row>
    <row r="647" spans="3:24" ht="15.85" customHeight="1">
      <c r="C647" s="270"/>
      <c r="X647" s="248"/>
    </row>
    <row r="648" spans="3:24" ht="15.85" customHeight="1">
      <c r="C648" s="270"/>
      <c r="X648" s="248"/>
    </row>
    <row r="649" spans="3:24" ht="15.85" customHeight="1">
      <c r="C649" s="270"/>
      <c r="X649" s="248"/>
    </row>
    <row r="650" spans="3:24" ht="15.85" customHeight="1">
      <c r="C650" s="270"/>
      <c r="X650" s="248"/>
    </row>
    <row r="651" spans="3:24" ht="15.85" customHeight="1">
      <c r="C651" s="270"/>
      <c r="X651" s="248"/>
    </row>
    <row r="652" spans="3:24" ht="15.85" customHeight="1">
      <c r="C652" s="270"/>
      <c r="X652" s="248"/>
    </row>
    <row r="653" spans="3:24" ht="15.85" customHeight="1">
      <c r="C653" s="270"/>
      <c r="X653" s="248"/>
    </row>
    <row r="654" spans="3:24" ht="15.85" customHeight="1">
      <c r="C654" s="270"/>
      <c r="X654" s="248"/>
    </row>
    <row r="655" spans="3:24" ht="15.85" customHeight="1">
      <c r="C655" s="270"/>
      <c r="X655" s="248"/>
    </row>
    <row r="656" spans="3:24" ht="15.85" customHeight="1">
      <c r="C656" s="270"/>
      <c r="X656" s="248"/>
    </row>
    <row r="657" spans="3:24" ht="15.85" customHeight="1">
      <c r="C657" s="270"/>
      <c r="X657" s="248"/>
    </row>
    <row r="658" spans="3:24" ht="15.85" customHeight="1">
      <c r="C658" s="270"/>
      <c r="X658" s="248"/>
    </row>
    <row r="659" spans="3:24" ht="15.85" customHeight="1">
      <c r="C659" s="270"/>
      <c r="X659" s="248"/>
    </row>
    <row r="660" spans="3:24" ht="15.85" customHeight="1">
      <c r="C660" s="270"/>
      <c r="X660" s="248"/>
    </row>
    <row r="661" spans="3:24" ht="15.85" customHeight="1">
      <c r="C661" s="270"/>
      <c r="X661" s="248"/>
    </row>
    <row r="662" spans="3:24" ht="15.85" customHeight="1">
      <c r="C662" s="270"/>
      <c r="X662" s="248"/>
    </row>
    <row r="663" spans="3:24" ht="15.85" customHeight="1">
      <c r="C663" s="270"/>
      <c r="X663" s="248"/>
    </row>
    <row r="664" spans="3:24" ht="15.85" customHeight="1">
      <c r="C664" s="270"/>
      <c r="X664" s="248"/>
    </row>
    <row r="665" spans="3:24" ht="15.85" customHeight="1">
      <c r="C665" s="270"/>
      <c r="X665" s="248"/>
    </row>
    <row r="666" spans="3:24" ht="15.85" customHeight="1">
      <c r="C666" s="270"/>
      <c r="X666" s="248"/>
    </row>
    <row r="667" spans="3:24" ht="15.85" customHeight="1">
      <c r="C667" s="270"/>
      <c r="X667" s="248"/>
    </row>
    <row r="668" spans="3:24" ht="15.85" customHeight="1">
      <c r="C668" s="270"/>
      <c r="X668" s="248"/>
    </row>
    <row r="669" spans="3:24" ht="15.85" customHeight="1">
      <c r="C669" s="270"/>
      <c r="X669" s="248"/>
    </row>
    <row r="670" spans="3:24" ht="15.85" customHeight="1">
      <c r="C670" s="270"/>
      <c r="X670" s="248"/>
    </row>
    <row r="671" spans="3:24" ht="15.85" customHeight="1">
      <c r="C671" s="270"/>
      <c r="X671" s="248"/>
    </row>
    <row r="672" spans="3:24" ht="15.85" customHeight="1">
      <c r="C672" s="270"/>
      <c r="X672" s="248"/>
    </row>
    <row r="673" spans="3:24" ht="15.85" customHeight="1">
      <c r="C673" s="270"/>
      <c r="X673" s="248"/>
    </row>
    <row r="674" spans="3:24" ht="15.85" customHeight="1">
      <c r="C674" s="270"/>
      <c r="X674" s="248"/>
    </row>
    <row r="675" spans="3:24" ht="15.85" customHeight="1">
      <c r="C675" s="270"/>
      <c r="X675" s="248"/>
    </row>
    <row r="676" spans="3:24" ht="15.85" customHeight="1">
      <c r="C676" s="270"/>
      <c r="X676" s="248"/>
    </row>
    <row r="677" spans="3:24" ht="15.85" customHeight="1">
      <c r="C677" s="270"/>
      <c r="X677" s="248"/>
    </row>
    <row r="678" spans="3:24" ht="15.85" customHeight="1">
      <c r="C678" s="270"/>
      <c r="X678" s="248"/>
    </row>
    <row r="679" spans="3:24" ht="15.85" customHeight="1">
      <c r="C679" s="270"/>
      <c r="X679" s="248"/>
    </row>
    <row r="680" spans="3:24" ht="15.85" customHeight="1">
      <c r="C680" s="270"/>
      <c r="X680" s="248"/>
    </row>
    <row r="681" spans="3:24" ht="15.85" customHeight="1">
      <c r="C681" s="270"/>
      <c r="X681" s="248"/>
    </row>
    <row r="682" spans="3:24" ht="15.85" customHeight="1">
      <c r="C682" s="270"/>
      <c r="X682" s="248"/>
    </row>
    <row r="683" spans="3:24" ht="15.85" customHeight="1">
      <c r="C683" s="270"/>
      <c r="X683" s="248"/>
    </row>
    <row r="684" spans="3:24" ht="15.85" customHeight="1">
      <c r="C684" s="270"/>
      <c r="X684" s="248"/>
    </row>
    <row r="685" spans="3:24" ht="15.85" customHeight="1">
      <c r="C685" s="270"/>
      <c r="X685" s="248"/>
    </row>
    <row r="686" spans="3:24" ht="15.85" customHeight="1">
      <c r="C686" s="270"/>
      <c r="X686" s="248"/>
    </row>
    <row r="687" spans="3:24" ht="15.85" customHeight="1">
      <c r="C687" s="270"/>
      <c r="X687" s="248"/>
    </row>
    <row r="688" spans="3:24" ht="15.85" customHeight="1">
      <c r="C688" s="270"/>
      <c r="X688" s="248"/>
    </row>
    <row r="689" spans="3:24" ht="15.85" customHeight="1">
      <c r="C689" s="270"/>
      <c r="X689" s="248"/>
    </row>
    <row r="690" spans="3:24" ht="15.85" customHeight="1">
      <c r="C690" s="270"/>
      <c r="X690" s="248"/>
    </row>
    <row r="691" spans="3:24" ht="15.85" customHeight="1">
      <c r="C691" s="270"/>
      <c r="X691" s="248"/>
    </row>
    <row r="692" spans="3:24" ht="15.85" customHeight="1">
      <c r="C692" s="270"/>
      <c r="X692" s="248"/>
    </row>
    <row r="693" spans="3:24" ht="15.85" customHeight="1">
      <c r="C693" s="270"/>
      <c r="X693" s="248"/>
    </row>
    <row r="694" spans="3:24" ht="15.85" customHeight="1">
      <c r="C694" s="270"/>
      <c r="X694" s="248"/>
    </row>
    <row r="695" spans="3:24" ht="15.85" customHeight="1">
      <c r="C695" s="270"/>
      <c r="X695" s="248"/>
    </row>
    <row r="696" spans="3:24" ht="15.85" customHeight="1">
      <c r="C696" s="270"/>
      <c r="X696" s="248"/>
    </row>
    <row r="697" spans="3:24" ht="15.85" customHeight="1">
      <c r="C697" s="270"/>
      <c r="X697" s="248"/>
    </row>
    <row r="698" spans="3:24" ht="15.85" customHeight="1">
      <c r="C698" s="270"/>
      <c r="X698" s="248"/>
    </row>
    <row r="699" spans="3:24" ht="15.85" customHeight="1">
      <c r="C699" s="270"/>
      <c r="X699" s="248"/>
    </row>
    <row r="700" spans="3:24" ht="15.85" customHeight="1">
      <c r="C700" s="270"/>
      <c r="X700" s="248"/>
    </row>
    <row r="701" spans="3:24" ht="15.85" customHeight="1">
      <c r="C701" s="270"/>
      <c r="X701" s="248"/>
    </row>
    <row r="702" spans="3:24" ht="15.85" customHeight="1">
      <c r="C702" s="270"/>
      <c r="X702" s="248"/>
    </row>
    <row r="703" spans="3:24" ht="15.85" customHeight="1">
      <c r="C703" s="270"/>
      <c r="X703" s="248"/>
    </row>
    <row r="704" spans="3:24" ht="15.85" customHeight="1">
      <c r="C704" s="270"/>
      <c r="X704" s="248"/>
    </row>
    <row r="705" spans="3:24" ht="15.85" customHeight="1">
      <c r="C705" s="270"/>
      <c r="X705" s="248"/>
    </row>
    <row r="706" spans="3:24" ht="15.85" customHeight="1">
      <c r="C706" s="270"/>
      <c r="X706" s="248"/>
    </row>
    <row r="707" spans="3:24" ht="15.85" customHeight="1">
      <c r="C707" s="270"/>
      <c r="X707" s="248"/>
    </row>
    <row r="708" spans="3:24" ht="15.85" customHeight="1">
      <c r="C708" s="270"/>
      <c r="X708" s="248"/>
    </row>
    <row r="709" spans="3:24" ht="15.85" customHeight="1">
      <c r="C709" s="270"/>
      <c r="X709" s="248"/>
    </row>
    <row r="710" spans="3:24" ht="15.85" customHeight="1">
      <c r="C710" s="270"/>
      <c r="X710" s="248"/>
    </row>
    <row r="711" spans="3:24" ht="15.85" customHeight="1">
      <c r="C711" s="270"/>
      <c r="X711" s="248"/>
    </row>
    <row r="712" spans="3:24" ht="15.85" customHeight="1">
      <c r="C712" s="270"/>
      <c r="X712" s="248"/>
    </row>
    <row r="713" spans="3:24" ht="15.85" customHeight="1">
      <c r="C713" s="270"/>
      <c r="X713" s="248"/>
    </row>
    <row r="714" spans="3:24" ht="15.85" customHeight="1">
      <c r="C714" s="270"/>
      <c r="X714" s="248"/>
    </row>
    <row r="715" spans="3:24" ht="15.85" customHeight="1">
      <c r="C715" s="270"/>
      <c r="X715" s="248"/>
    </row>
    <row r="716" spans="3:24" ht="15.85" customHeight="1">
      <c r="C716" s="270"/>
      <c r="X716" s="248"/>
    </row>
    <row r="717" spans="3:24" ht="15.85" customHeight="1">
      <c r="C717" s="270"/>
      <c r="X717" s="248"/>
    </row>
    <row r="718" spans="3:24" ht="15.85" customHeight="1">
      <c r="C718" s="270"/>
      <c r="X718" s="248"/>
    </row>
    <row r="719" spans="3:24" ht="15.85" customHeight="1">
      <c r="C719" s="270"/>
      <c r="X719" s="248"/>
    </row>
    <row r="720" spans="3:24" ht="15.85" customHeight="1">
      <c r="C720" s="270"/>
      <c r="X720" s="248"/>
    </row>
    <row r="721" spans="3:24" ht="15.85" customHeight="1">
      <c r="C721" s="270"/>
      <c r="X721" s="248"/>
    </row>
    <row r="722" spans="3:24" ht="15.85" customHeight="1">
      <c r="C722" s="270"/>
      <c r="X722" s="248"/>
    </row>
    <row r="723" spans="3:24" ht="15.85" customHeight="1">
      <c r="C723" s="270"/>
      <c r="X723" s="248"/>
    </row>
    <row r="724" spans="3:24" ht="15.85" customHeight="1">
      <c r="C724" s="270"/>
      <c r="X724" s="248"/>
    </row>
    <row r="725" spans="3:24" ht="15.85" customHeight="1">
      <c r="C725" s="270"/>
      <c r="X725" s="248"/>
    </row>
    <row r="726" spans="3:24" ht="15.85" customHeight="1">
      <c r="C726" s="270"/>
      <c r="X726" s="248"/>
    </row>
    <row r="727" spans="3:24" ht="15.85" customHeight="1">
      <c r="C727" s="270"/>
      <c r="X727" s="248"/>
    </row>
    <row r="728" spans="3:24" ht="15.85" customHeight="1">
      <c r="C728" s="270"/>
      <c r="X728" s="248"/>
    </row>
    <row r="729" spans="3:24" ht="15.85" customHeight="1">
      <c r="C729" s="270"/>
      <c r="X729" s="248"/>
    </row>
    <row r="730" spans="3:24" ht="15.85" customHeight="1">
      <c r="C730" s="270"/>
      <c r="X730" s="248"/>
    </row>
    <row r="731" spans="3:24" ht="15.85" customHeight="1">
      <c r="C731" s="270"/>
      <c r="X731" s="248"/>
    </row>
    <row r="732" spans="3:24" ht="15.85" customHeight="1">
      <c r="C732" s="270"/>
      <c r="X732" s="248"/>
    </row>
    <row r="733" spans="3:24" ht="15.85" customHeight="1">
      <c r="C733" s="270"/>
      <c r="X733" s="248"/>
    </row>
    <row r="734" spans="3:24" ht="15.85" customHeight="1">
      <c r="C734" s="270"/>
      <c r="X734" s="248"/>
    </row>
    <row r="735" spans="3:24" ht="15.85" customHeight="1">
      <c r="C735" s="270"/>
      <c r="X735" s="248"/>
    </row>
    <row r="736" spans="3:24" ht="15.85" customHeight="1">
      <c r="C736" s="270"/>
      <c r="X736" s="248"/>
    </row>
    <row r="737" spans="3:24" ht="15.85" customHeight="1">
      <c r="C737" s="270"/>
      <c r="X737" s="248"/>
    </row>
    <row r="738" spans="3:24" ht="15.85" customHeight="1">
      <c r="C738" s="270"/>
      <c r="X738" s="248"/>
    </row>
    <row r="739" spans="3:24" ht="15.85" customHeight="1">
      <c r="C739" s="270"/>
      <c r="X739" s="248"/>
    </row>
    <row r="740" spans="3:24" ht="15.85" customHeight="1">
      <c r="C740" s="270"/>
      <c r="X740" s="248"/>
    </row>
    <row r="741" spans="3:24" ht="15.85" customHeight="1">
      <c r="C741" s="270"/>
      <c r="X741" s="248"/>
    </row>
    <row r="742" spans="3:24" ht="15.85" customHeight="1">
      <c r="C742" s="270"/>
      <c r="X742" s="248"/>
    </row>
    <row r="743" spans="3:24" ht="15.85" customHeight="1">
      <c r="C743" s="270"/>
      <c r="X743" s="248"/>
    </row>
    <row r="744" spans="3:24" ht="15.85" customHeight="1">
      <c r="C744" s="270"/>
      <c r="X744" s="248"/>
    </row>
    <row r="745" spans="3:24" ht="15.85" customHeight="1">
      <c r="C745" s="270"/>
      <c r="X745" s="248"/>
    </row>
    <row r="746" spans="3:24" ht="15.85" customHeight="1">
      <c r="C746" s="270"/>
      <c r="X746" s="248"/>
    </row>
    <row r="747" spans="3:24" ht="15.85" customHeight="1">
      <c r="C747" s="270"/>
      <c r="X747" s="248"/>
    </row>
    <row r="748" spans="3:24" ht="15.85" customHeight="1">
      <c r="C748" s="270"/>
      <c r="X748" s="248"/>
    </row>
    <row r="749" spans="3:24" ht="15.85" customHeight="1">
      <c r="C749" s="270"/>
      <c r="X749" s="248"/>
    </row>
    <row r="750" spans="3:24" ht="15.85" customHeight="1">
      <c r="C750" s="270"/>
      <c r="X750" s="248"/>
    </row>
    <row r="751" spans="3:24" ht="15.85" customHeight="1">
      <c r="C751" s="270"/>
      <c r="X751" s="248"/>
    </row>
    <row r="752" spans="3:24" ht="15.85" customHeight="1">
      <c r="C752" s="270"/>
      <c r="X752" s="248"/>
    </row>
    <row r="753" spans="3:24" ht="15.85" customHeight="1">
      <c r="C753" s="270"/>
      <c r="X753" s="248"/>
    </row>
    <row r="754" spans="3:24" ht="15.85" customHeight="1">
      <c r="C754" s="270"/>
      <c r="X754" s="248"/>
    </row>
    <row r="755" spans="3:24" ht="15.85" customHeight="1">
      <c r="C755" s="270"/>
      <c r="X755" s="248"/>
    </row>
    <row r="756" spans="3:24" ht="15.85" customHeight="1">
      <c r="C756" s="270"/>
      <c r="X756" s="248"/>
    </row>
    <row r="757" spans="3:24" ht="15.85" customHeight="1">
      <c r="C757" s="270"/>
      <c r="X757" s="248"/>
    </row>
    <row r="758" spans="3:24" ht="15.85" customHeight="1">
      <c r="C758" s="270"/>
      <c r="X758" s="248"/>
    </row>
    <row r="759" spans="3:24" ht="15.85" customHeight="1">
      <c r="C759" s="270"/>
      <c r="X759" s="248"/>
    </row>
    <row r="760" spans="3:24" ht="15.85" customHeight="1">
      <c r="C760" s="270"/>
      <c r="X760" s="248"/>
    </row>
    <row r="761" spans="3:24" ht="15.85" customHeight="1">
      <c r="C761" s="270"/>
      <c r="X761" s="248"/>
    </row>
    <row r="762" spans="3:24" ht="15.85" customHeight="1">
      <c r="C762" s="270"/>
      <c r="X762" s="248"/>
    </row>
    <row r="763" spans="3:24" ht="15.85" customHeight="1">
      <c r="C763" s="270"/>
      <c r="X763" s="248"/>
    </row>
    <row r="764" spans="3:24" ht="15.85" customHeight="1">
      <c r="C764" s="270"/>
      <c r="X764" s="248"/>
    </row>
    <row r="765" spans="3:24" ht="15.85" customHeight="1">
      <c r="C765" s="270"/>
      <c r="X765" s="248"/>
    </row>
    <row r="766" spans="3:24" ht="15.85" customHeight="1">
      <c r="C766" s="270"/>
      <c r="X766" s="248"/>
    </row>
    <row r="767" spans="3:24" ht="15.85" customHeight="1">
      <c r="C767" s="270"/>
      <c r="X767" s="248"/>
    </row>
    <row r="768" spans="3:24" ht="15.85" customHeight="1">
      <c r="C768" s="270"/>
      <c r="X768" s="248"/>
    </row>
    <row r="769" spans="3:24" ht="15.85" customHeight="1">
      <c r="C769" s="270"/>
      <c r="X769" s="248"/>
    </row>
    <row r="770" spans="3:24" ht="15.85" customHeight="1">
      <c r="C770" s="270"/>
      <c r="X770" s="248"/>
    </row>
    <row r="771" spans="3:24" ht="15.85" customHeight="1">
      <c r="C771" s="270"/>
      <c r="X771" s="248"/>
    </row>
    <row r="772" spans="3:24" ht="15.85" customHeight="1">
      <c r="C772" s="270"/>
      <c r="X772" s="248"/>
    </row>
    <row r="773" spans="3:24" ht="15.85" customHeight="1">
      <c r="C773" s="270"/>
      <c r="X773" s="248"/>
    </row>
    <row r="774" spans="3:24" ht="15.85" customHeight="1">
      <c r="C774" s="270"/>
      <c r="X774" s="248"/>
    </row>
    <row r="775" spans="3:24" ht="15.85" customHeight="1">
      <c r="C775" s="270"/>
      <c r="X775" s="248"/>
    </row>
    <row r="776" spans="3:24" ht="15.85" customHeight="1">
      <c r="C776" s="270"/>
      <c r="X776" s="248"/>
    </row>
    <row r="777" spans="3:24" ht="15.85" customHeight="1">
      <c r="C777" s="270"/>
      <c r="X777" s="248"/>
    </row>
    <row r="778" spans="3:24" ht="15.85" customHeight="1">
      <c r="C778" s="270"/>
      <c r="X778" s="248"/>
    </row>
    <row r="779" spans="3:24" ht="15.85" customHeight="1">
      <c r="C779" s="270"/>
      <c r="X779" s="248"/>
    </row>
    <row r="780" spans="3:24" ht="15.85" customHeight="1">
      <c r="C780" s="270"/>
      <c r="X780" s="248"/>
    </row>
    <row r="781" spans="3:24" ht="15.85" customHeight="1">
      <c r="C781" s="270"/>
      <c r="X781" s="248"/>
    </row>
    <row r="782" spans="3:24" ht="15.85" customHeight="1">
      <c r="C782" s="270"/>
      <c r="X782" s="248"/>
    </row>
    <row r="783" spans="3:24" ht="15.85" customHeight="1">
      <c r="C783" s="270"/>
      <c r="X783" s="248"/>
    </row>
    <row r="784" spans="3:24" ht="15.85" customHeight="1">
      <c r="C784" s="270"/>
      <c r="X784" s="248"/>
    </row>
    <row r="785" spans="3:24" ht="15.85" customHeight="1">
      <c r="C785" s="270"/>
      <c r="X785" s="248"/>
    </row>
    <row r="786" spans="3:24" ht="15.85" customHeight="1">
      <c r="C786" s="270"/>
      <c r="X786" s="248"/>
    </row>
    <row r="787" spans="3:24" ht="15.85" customHeight="1">
      <c r="C787" s="270"/>
      <c r="X787" s="248"/>
    </row>
    <row r="788" spans="3:24" ht="15.85" customHeight="1">
      <c r="C788" s="270"/>
      <c r="X788" s="248"/>
    </row>
    <row r="789" spans="3:24" ht="15.85" customHeight="1">
      <c r="C789" s="270"/>
      <c r="X789" s="248"/>
    </row>
    <row r="790" spans="3:24" ht="15.85" customHeight="1">
      <c r="C790" s="270"/>
      <c r="X790" s="248"/>
    </row>
    <row r="791" spans="3:24" ht="15.85" customHeight="1">
      <c r="C791" s="270"/>
      <c r="X791" s="248"/>
    </row>
    <row r="792" spans="3:24" ht="15.85" customHeight="1">
      <c r="C792" s="270"/>
      <c r="X792" s="248"/>
    </row>
    <row r="793" spans="3:24" ht="15.85" customHeight="1">
      <c r="C793" s="270"/>
      <c r="X793" s="248"/>
    </row>
    <row r="794" spans="3:24" ht="15.85" customHeight="1">
      <c r="C794" s="270"/>
      <c r="X794" s="248"/>
    </row>
    <row r="795" spans="3:24" ht="15.85" customHeight="1">
      <c r="C795" s="270"/>
      <c r="X795" s="248"/>
    </row>
    <row r="796" spans="3:24" ht="15.85" customHeight="1">
      <c r="C796" s="270"/>
      <c r="X796" s="248"/>
    </row>
    <row r="797" spans="3:24" ht="15.85" customHeight="1">
      <c r="C797" s="270"/>
      <c r="X797" s="248"/>
    </row>
    <row r="798" spans="3:24" ht="15.85" customHeight="1">
      <c r="C798" s="270"/>
      <c r="X798" s="248"/>
    </row>
    <row r="799" spans="3:24" ht="15.85" customHeight="1">
      <c r="C799" s="270"/>
      <c r="X799" s="248"/>
    </row>
    <row r="800" spans="3:24" ht="15.85" customHeight="1">
      <c r="C800" s="270"/>
      <c r="X800" s="248"/>
    </row>
    <row r="801" spans="3:24" ht="15.85" customHeight="1">
      <c r="C801" s="270"/>
      <c r="X801" s="248"/>
    </row>
    <row r="802" spans="3:24" ht="15.85" customHeight="1">
      <c r="C802" s="270"/>
      <c r="X802" s="248"/>
    </row>
    <row r="803" spans="3:24" ht="15.85" customHeight="1">
      <c r="C803" s="270"/>
      <c r="X803" s="248"/>
    </row>
    <row r="804" spans="3:24" ht="15.85" customHeight="1">
      <c r="C804" s="270"/>
      <c r="X804" s="248"/>
    </row>
    <row r="805" spans="3:24" ht="15.85" customHeight="1">
      <c r="C805" s="270"/>
      <c r="X805" s="248"/>
    </row>
    <row r="806" spans="3:24" ht="15.85" customHeight="1">
      <c r="C806" s="270"/>
      <c r="X806" s="248"/>
    </row>
    <row r="807" spans="3:24" ht="15.85" customHeight="1">
      <c r="C807" s="270"/>
      <c r="X807" s="248"/>
    </row>
    <row r="808" spans="3:24" ht="15.85" customHeight="1">
      <c r="C808" s="270"/>
      <c r="X808" s="248"/>
    </row>
    <row r="809" spans="3:24" ht="15.85" customHeight="1">
      <c r="C809" s="270"/>
      <c r="X809" s="248"/>
    </row>
    <row r="810" spans="3:24" ht="15.85" customHeight="1">
      <c r="C810" s="270"/>
      <c r="X810" s="248"/>
    </row>
    <row r="811" spans="3:24" ht="15.85" customHeight="1">
      <c r="C811" s="270"/>
      <c r="X811" s="248"/>
    </row>
    <row r="812" spans="3:24" ht="15.85" customHeight="1">
      <c r="C812" s="270"/>
      <c r="X812" s="248"/>
    </row>
    <row r="813" spans="3:24" ht="15.85" customHeight="1">
      <c r="C813" s="270"/>
      <c r="X813" s="248"/>
    </row>
    <row r="814" spans="3:24" ht="15.85" customHeight="1">
      <c r="C814" s="270"/>
      <c r="X814" s="248"/>
    </row>
    <row r="815" spans="3:24" ht="15.85" customHeight="1">
      <c r="C815" s="270"/>
      <c r="X815" s="248"/>
    </row>
    <row r="816" spans="3:24" ht="15.85" customHeight="1">
      <c r="C816" s="270"/>
      <c r="X816" s="248"/>
    </row>
    <row r="817" spans="3:24" ht="15.85" customHeight="1">
      <c r="C817" s="270"/>
      <c r="X817" s="248"/>
    </row>
    <row r="818" spans="3:24" ht="15.85" customHeight="1">
      <c r="C818" s="270"/>
      <c r="X818" s="248"/>
    </row>
    <row r="819" spans="3:24" ht="15.85" customHeight="1">
      <c r="C819" s="270"/>
      <c r="X819" s="248"/>
    </row>
    <row r="820" spans="3:24" ht="15.85" customHeight="1">
      <c r="C820" s="270"/>
      <c r="X820" s="248"/>
    </row>
    <row r="821" spans="3:24" ht="15.85" customHeight="1">
      <c r="C821" s="270"/>
      <c r="X821" s="248"/>
    </row>
    <row r="822" spans="3:24" ht="15.85" customHeight="1">
      <c r="C822" s="270"/>
      <c r="X822" s="248"/>
    </row>
    <row r="823" spans="3:24" ht="15.85" customHeight="1">
      <c r="C823" s="270"/>
      <c r="X823" s="248"/>
    </row>
    <row r="824" spans="3:24" ht="15.85" customHeight="1">
      <c r="C824" s="270"/>
      <c r="X824" s="248"/>
    </row>
    <row r="825" spans="3:24" ht="15.85" customHeight="1">
      <c r="C825" s="270"/>
      <c r="X825" s="248"/>
    </row>
    <row r="826" spans="3:24" ht="15.85" customHeight="1">
      <c r="C826" s="270"/>
      <c r="X826" s="248"/>
    </row>
    <row r="827" spans="3:24" ht="15.85" customHeight="1">
      <c r="C827" s="270"/>
      <c r="X827" s="248"/>
    </row>
    <row r="828" spans="3:24" ht="15.85" customHeight="1">
      <c r="C828" s="270"/>
      <c r="X828" s="248"/>
    </row>
    <row r="829" spans="3:24" ht="15.85" customHeight="1">
      <c r="C829" s="270"/>
      <c r="X829" s="248"/>
    </row>
    <row r="830" spans="3:24" ht="15.85" customHeight="1">
      <c r="C830" s="270"/>
      <c r="X830" s="248"/>
    </row>
    <row r="831" spans="3:24" ht="15.85" customHeight="1">
      <c r="C831" s="270"/>
      <c r="X831" s="248"/>
    </row>
    <row r="832" spans="3:24" ht="15.85" customHeight="1">
      <c r="C832" s="270"/>
      <c r="X832" s="248"/>
    </row>
    <row r="833" spans="3:24" ht="15.85" customHeight="1">
      <c r="C833" s="270"/>
      <c r="X833" s="248"/>
    </row>
    <row r="834" spans="3:24" ht="15.85" customHeight="1">
      <c r="C834" s="270"/>
      <c r="X834" s="248"/>
    </row>
    <row r="835" spans="3:24" ht="15.85" customHeight="1">
      <c r="C835" s="270"/>
      <c r="X835" s="248"/>
    </row>
    <row r="836" spans="3:24" ht="15.85" customHeight="1">
      <c r="C836" s="270"/>
      <c r="X836" s="248"/>
    </row>
    <row r="837" spans="3:24" ht="15.85" customHeight="1">
      <c r="C837" s="270"/>
      <c r="X837" s="248"/>
    </row>
    <row r="838" spans="3:24" ht="15.85" customHeight="1">
      <c r="C838" s="270"/>
      <c r="X838" s="248"/>
    </row>
    <row r="839" spans="3:24" ht="15.85" customHeight="1">
      <c r="C839" s="270"/>
      <c r="X839" s="248"/>
    </row>
    <row r="840" spans="3:24" ht="15.85" customHeight="1">
      <c r="C840" s="270"/>
      <c r="X840" s="248"/>
    </row>
    <row r="841" spans="3:24" ht="15.85" customHeight="1">
      <c r="C841" s="270"/>
      <c r="X841" s="248"/>
    </row>
    <row r="842" spans="3:24" ht="15.85" customHeight="1">
      <c r="C842" s="270"/>
      <c r="X842" s="248"/>
    </row>
    <row r="843" spans="3:24" ht="15.85" customHeight="1">
      <c r="C843" s="270"/>
      <c r="X843" s="248"/>
    </row>
    <row r="844" spans="3:24" ht="15.85" customHeight="1">
      <c r="C844" s="270"/>
      <c r="X844" s="248"/>
    </row>
    <row r="845" spans="3:24" ht="15.85" customHeight="1">
      <c r="C845" s="270"/>
      <c r="X845" s="248"/>
    </row>
    <row r="846" spans="3:24" ht="15.85" customHeight="1">
      <c r="C846" s="270"/>
      <c r="X846" s="248"/>
    </row>
    <row r="847" spans="3:24" ht="15.85" customHeight="1">
      <c r="C847" s="270"/>
      <c r="X847" s="248"/>
    </row>
    <row r="848" spans="3:24" ht="15.85" customHeight="1">
      <c r="C848" s="270"/>
      <c r="X848" s="248"/>
    </row>
    <row r="849" spans="3:24" ht="15.85" customHeight="1">
      <c r="C849" s="270"/>
      <c r="X849" s="248"/>
    </row>
    <row r="850" spans="3:24" ht="15.85" customHeight="1">
      <c r="C850" s="270"/>
      <c r="X850" s="248"/>
    </row>
    <row r="851" spans="3:24" ht="15.85" customHeight="1">
      <c r="C851" s="270"/>
      <c r="X851" s="248"/>
    </row>
    <row r="852" spans="3:24" ht="15.85" customHeight="1">
      <c r="C852" s="270"/>
      <c r="X852" s="248"/>
    </row>
    <row r="853" spans="3:24" ht="15.85" customHeight="1">
      <c r="C853" s="270"/>
      <c r="X853" s="248"/>
    </row>
    <row r="854" spans="3:24" ht="15.85" customHeight="1">
      <c r="C854" s="270"/>
      <c r="X854" s="248"/>
    </row>
    <row r="855" spans="3:24" ht="15.85" customHeight="1">
      <c r="C855" s="270"/>
      <c r="X855" s="248"/>
    </row>
    <row r="856" spans="3:24" ht="15.85" customHeight="1">
      <c r="C856" s="270"/>
      <c r="X856" s="248"/>
    </row>
    <row r="857" spans="3:24" ht="15.85" customHeight="1">
      <c r="C857" s="270"/>
      <c r="X857" s="248"/>
    </row>
    <row r="858" spans="3:24" ht="15.85" customHeight="1">
      <c r="C858" s="270"/>
      <c r="X858" s="248"/>
    </row>
    <row r="859" spans="3:24" ht="15.85" customHeight="1">
      <c r="C859" s="270"/>
      <c r="X859" s="248"/>
    </row>
    <row r="860" spans="3:24" ht="15.85" customHeight="1">
      <c r="C860" s="270"/>
      <c r="X860" s="248"/>
    </row>
    <row r="861" spans="3:24" ht="15.85" customHeight="1">
      <c r="C861" s="270"/>
      <c r="X861" s="248"/>
    </row>
    <row r="862" spans="3:24" ht="15.85" customHeight="1">
      <c r="C862" s="270"/>
      <c r="X862" s="248"/>
    </row>
    <row r="863" spans="3:24" ht="15.85" customHeight="1">
      <c r="C863" s="270"/>
      <c r="X863" s="248"/>
    </row>
    <row r="864" spans="3:24" ht="15.85" customHeight="1">
      <c r="C864" s="270"/>
      <c r="X864" s="248"/>
    </row>
    <row r="865" spans="3:24" ht="15.85" customHeight="1">
      <c r="C865" s="270"/>
      <c r="X865" s="248"/>
    </row>
    <row r="866" spans="3:24" ht="15.85" customHeight="1">
      <c r="C866" s="270"/>
      <c r="X866" s="248"/>
    </row>
    <row r="867" spans="3:24" ht="15.85" customHeight="1">
      <c r="C867" s="270"/>
      <c r="X867" s="248"/>
    </row>
    <row r="868" spans="3:24" ht="15.85" customHeight="1">
      <c r="C868" s="270"/>
      <c r="X868" s="248"/>
    </row>
    <row r="869" spans="3:24" ht="15.85" customHeight="1">
      <c r="C869" s="270"/>
      <c r="X869" s="248"/>
    </row>
    <row r="870" spans="3:24" ht="15.85" customHeight="1">
      <c r="C870" s="270"/>
      <c r="X870" s="248"/>
    </row>
    <row r="871" spans="3:24" ht="15.85" customHeight="1">
      <c r="C871" s="270"/>
      <c r="X871" s="248"/>
    </row>
    <row r="872" spans="3:24" ht="15.85" customHeight="1">
      <c r="C872" s="270"/>
      <c r="X872" s="248"/>
    </row>
    <row r="873" spans="3:24" ht="15.85" customHeight="1">
      <c r="C873" s="270"/>
      <c r="X873" s="248"/>
    </row>
    <row r="874" spans="3:24" ht="15.85" customHeight="1">
      <c r="C874" s="270"/>
      <c r="X874" s="248"/>
    </row>
    <row r="875" spans="3:24" ht="15.85" customHeight="1">
      <c r="C875" s="270"/>
      <c r="X875" s="248"/>
    </row>
    <row r="876" spans="3:24" ht="15.85" customHeight="1">
      <c r="C876" s="270"/>
      <c r="X876" s="248"/>
    </row>
    <row r="877" spans="3:24" ht="15.85" customHeight="1">
      <c r="C877" s="270"/>
      <c r="X877" s="248"/>
    </row>
    <row r="878" spans="3:24" ht="15.85" customHeight="1">
      <c r="C878" s="270"/>
      <c r="X878" s="248"/>
    </row>
    <row r="879" spans="3:24" ht="15.85" customHeight="1">
      <c r="C879" s="270"/>
      <c r="X879" s="248"/>
    </row>
    <row r="880" spans="3:24" ht="15.85" customHeight="1">
      <c r="C880" s="270"/>
      <c r="X880" s="248"/>
    </row>
    <row r="881" spans="3:24" ht="15.85" customHeight="1">
      <c r="C881" s="270"/>
      <c r="X881" s="248"/>
    </row>
    <row r="882" spans="3:24" ht="15.85" customHeight="1">
      <c r="C882" s="270"/>
      <c r="X882" s="248"/>
    </row>
    <row r="883" spans="3:24" ht="15.85" customHeight="1">
      <c r="C883" s="270"/>
      <c r="X883" s="248"/>
    </row>
    <row r="884" spans="3:24" ht="15.85" customHeight="1">
      <c r="C884" s="270"/>
      <c r="X884" s="248"/>
    </row>
    <row r="885" spans="3:24" ht="15.85" customHeight="1">
      <c r="C885" s="270"/>
      <c r="X885" s="248"/>
    </row>
    <row r="886" spans="3:24" ht="15.85" customHeight="1">
      <c r="C886" s="270"/>
      <c r="X886" s="248"/>
    </row>
    <row r="887" spans="3:24" ht="15.85" customHeight="1">
      <c r="C887" s="270"/>
      <c r="X887" s="248"/>
    </row>
    <row r="888" spans="3:24" ht="15.85" customHeight="1">
      <c r="C888" s="270"/>
      <c r="X888" s="248"/>
    </row>
    <row r="889" spans="3:24" ht="15.85" customHeight="1">
      <c r="C889" s="270"/>
      <c r="X889" s="248"/>
    </row>
    <row r="890" spans="3:24" ht="15.85" customHeight="1">
      <c r="C890" s="270"/>
      <c r="X890" s="248"/>
    </row>
    <row r="891" spans="3:24" ht="15.85" customHeight="1">
      <c r="C891" s="270"/>
      <c r="X891" s="248"/>
    </row>
    <row r="892" spans="3:24" ht="15.85" customHeight="1">
      <c r="C892" s="270"/>
      <c r="X892" s="248"/>
    </row>
    <row r="893" spans="3:24" ht="15.85" customHeight="1">
      <c r="C893" s="270"/>
      <c r="X893" s="248"/>
    </row>
    <row r="894" spans="3:24" ht="15.85" customHeight="1">
      <c r="C894" s="270"/>
      <c r="X894" s="248"/>
    </row>
    <row r="895" spans="3:24" ht="15.85" customHeight="1">
      <c r="C895" s="270"/>
      <c r="X895" s="248"/>
    </row>
    <row r="896" spans="3:24" ht="15.85" customHeight="1">
      <c r="C896" s="270"/>
      <c r="X896" s="248"/>
    </row>
    <row r="897" spans="3:24" ht="15.85" customHeight="1">
      <c r="C897" s="270"/>
      <c r="X897" s="248"/>
    </row>
    <row r="898" spans="3:24" ht="15.85" customHeight="1">
      <c r="C898" s="270"/>
      <c r="X898" s="248"/>
    </row>
    <row r="899" spans="3:24" ht="15.85" customHeight="1">
      <c r="C899" s="270"/>
      <c r="X899" s="248"/>
    </row>
    <row r="900" spans="3:24" ht="15.85" customHeight="1">
      <c r="C900" s="270"/>
      <c r="X900" s="248"/>
    </row>
    <row r="901" spans="3:24" ht="15.85" customHeight="1">
      <c r="C901" s="270"/>
      <c r="X901" s="248"/>
    </row>
    <row r="902" spans="3:24" ht="15.85" customHeight="1">
      <c r="C902" s="270"/>
      <c r="X902" s="248"/>
    </row>
    <row r="903" spans="3:24" ht="15.85" customHeight="1">
      <c r="C903" s="270"/>
      <c r="X903" s="248"/>
    </row>
    <row r="904" spans="3:24" ht="15.85" customHeight="1">
      <c r="C904" s="270"/>
      <c r="X904" s="248"/>
    </row>
    <row r="905" spans="3:24" ht="15.85" customHeight="1">
      <c r="C905" s="270"/>
      <c r="X905" s="248"/>
    </row>
    <row r="906" spans="3:24" ht="15.85" customHeight="1">
      <c r="C906" s="270"/>
      <c r="X906" s="248"/>
    </row>
    <row r="907" spans="3:24" ht="15.85" customHeight="1">
      <c r="C907" s="270"/>
      <c r="X907" s="248"/>
    </row>
    <row r="908" spans="3:24" ht="15.85" customHeight="1">
      <c r="C908" s="270"/>
      <c r="X908" s="248"/>
    </row>
    <row r="909" spans="3:24" ht="15.85" customHeight="1">
      <c r="C909" s="270"/>
      <c r="X909" s="248"/>
    </row>
    <row r="910" spans="3:24" ht="15.85" customHeight="1">
      <c r="C910" s="270"/>
      <c r="X910" s="248"/>
    </row>
    <row r="911" spans="3:24" ht="15.85" customHeight="1">
      <c r="C911" s="270"/>
      <c r="X911" s="248"/>
    </row>
    <row r="912" spans="3:24" ht="15.85" customHeight="1">
      <c r="C912" s="270"/>
      <c r="X912" s="248"/>
    </row>
    <row r="913" spans="3:24" ht="15.85" customHeight="1">
      <c r="C913" s="270"/>
      <c r="X913" s="248"/>
    </row>
    <row r="914" spans="3:24" ht="15.85" customHeight="1">
      <c r="C914" s="270"/>
      <c r="X914" s="248"/>
    </row>
    <row r="915" spans="3:24" ht="15.85" customHeight="1">
      <c r="C915" s="270"/>
      <c r="X915" s="248"/>
    </row>
    <row r="916" spans="3:24" ht="15.85" customHeight="1">
      <c r="C916" s="270"/>
      <c r="X916" s="248"/>
    </row>
    <row r="917" spans="3:24" ht="15.85" customHeight="1">
      <c r="C917" s="270"/>
      <c r="X917" s="248"/>
    </row>
    <row r="918" spans="3:24" ht="15.85" customHeight="1">
      <c r="C918" s="270"/>
      <c r="X918" s="248"/>
    </row>
    <row r="919" spans="3:24" ht="15.85" customHeight="1">
      <c r="C919" s="270"/>
      <c r="X919" s="248"/>
    </row>
    <row r="920" spans="3:24" ht="15.85" customHeight="1">
      <c r="C920" s="270"/>
      <c r="X920" s="248"/>
    </row>
    <row r="921" spans="3:24" ht="15.85" customHeight="1">
      <c r="C921" s="270"/>
      <c r="X921" s="248"/>
    </row>
    <row r="922" spans="3:24" ht="15.85" customHeight="1">
      <c r="C922" s="270"/>
      <c r="X922" s="248"/>
    </row>
    <row r="923" spans="3:24" ht="15.85" customHeight="1">
      <c r="C923" s="270"/>
      <c r="X923" s="248"/>
    </row>
    <row r="924" spans="3:24" ht="15.85" customHeight="1">
      <c r="C924" s="270"/>
      <c r="X924" s="248"/>
    </row>
    <row r="925" spans="3:24" ht="15.85" customHeight="1">
      <c r="C925" s="270"/>
      <c r="X925" s="248"/>
    </row>
    <row r="926" spans="3:24" ht="15.85" customHeight="1">
      <c r="C926" s="270"/>
      <c r="X926" s="248"/>
    </row>
    <row r="927" spans="3:24" ht="15.85" customHeight="1">
      <c r="C927" s="270"/>
      <c r="X927" s="248"/>
    </row>
    <row r="928" spans="3:24" ht="15.85" customHeight="1">
      <c r="C928" s="270"/>
      <c r="X928" s="248"/>
    </row>
    <row r="929" spans="3:24" ht="15.85" customHeight="1">
      <c r="C929" s="270"/>
      <c r="X929" s="248"/>
    </row>
    <row r="930" spans="3:24" ht="15.85" customHeight="1">
      <c r="C930" s="270"/>
      <c r="X930" s="248"/>
    </row>
    <row r="931" spans="3:24" ht="15.85" customHeight="1">
      <c r="C931" s="270"/>
      <c r="X931" s="248"/>
    </row>
    <row r="932" spans="3:24" ht="15.85" customHeight="1">
      <c r="C932" s="270"/>
      <c r="X932" s="248"/>
    </row>
    <row r="933" spans="3:24" ht="15.85" customHeight="1">
      <c r="C933" s="270"/>
      <c r="X933" s="248"/>
    </row>
    <row r="934" spans="3:24" ht="15.85" customHeight="1">
      <c r="C934" s="270"/>
      <c r="X934" s="248"/>
    </row>
    <row r="935" spans="3:24" ht="15.85" customHeight="1">
      <c r="C935" s="270"/>
      <c r="X935" s="248"/>
    </row>
    <row r="936" spans="3:24" ht="15.85" customHeight="1">
      <c r="C936" s="270"/>
      <c r="X936" s="248"/>
    </row>
    <row r="937" spans="3:24" ht="15.85" customHeight="1">
      <c r="C937" s="270"/>
      <c r="X937" s="248"/>
    </row>
    <row r="938" spans="3:24" ht="15.85" customHeight="1">
      <c r="C938" s="270"/>
      <c r="X938" s="248"/>
    </row>
    <row r="939" spans="3:24" ht="15.85" customHeight="1">
      <c r="C939" s="270"/>
      <c r="X939" s="248"/>
    </row>
    <row r="940" spans="3:24" ht="15.85" customHeight="1">
      <c r="C940" s="270"/>
      <c r="X940" s="248"/>
    </row>
    <row r="941" spans="3:24" ht="15.85" customHeight="1">
      <c r="C941" s="270"/>
      <c r="X941" s="248"/>
    </row>
    <row r="942" spans="3:24" ht="15.85" customHeight="1">
      <c r="C942" s="270"/>
      <c r="X942" s="248"/>
    </row>
    <row r="943" spans="3:24" ht="15.85" customHeight="1">
      <c r="C943" s="270"/>
      <c r="X943" s="248"/>
    </row>
    <row r="944" spans="3:24" ht="15.85" customHeight="1">
      <c r="C944" s="270"/>
      <c r="X944" s="248"/>
    </row>
    <row r="945" spans="3:24" ht="15.85" customHeight="1">
      <c r="C945" s="270"/>
      <c r="X945" s="248"/>
    </row>
    <row r="946" spans="3:24" ht="15.85" customHeight="1">
      <c r="C946" s="270"/>
      <c r="X946" s="248"/>
    </row>
    <row r="947" spans="3:24" ht="15.85" customHeight="1">
      <c r="C947" s="270"/>
      <c r="X947" s="248"/>
    </row>
    <row r="948" spans="3:24" ht="15.85" customHeight="1">
      <c r="C948" s="270"/>
      <c r="X948" s="248"/>
    </row>
    <row r="949" spans="3:24" ht="15.85" customHeight="1">
      <c r="C949" s="270"/>
      <c r="X949" s="248"/>
    </row>
    <row r="950" spans="3:24" ht="15.85" customHeight="1">
      <c r="C950" s="270"/>
      <c r="X950" s="248"/>
    </row>
    <row r="951" spans="3:24" ht="15.85" customHeight="1">
      <c r="C951" s="270"/>
      <c r="X951" s="248"/>
    </row>
    <row r="952" spans="3:24" ht="15.85" customHeight="1">
      <c r="C952" s="270"/>
      <c r="X952" s="248"/>
    </row>
    <row r="953" spans="3:24" ht="15.85" customHeight="1">
      <c r="C953" s="270"/>
      <c r="X953" s="248"/>
    </row>
    <row r="954" spans="3:24" ht="15.85" customHeight="1">
      <c r="C954" s="270"/>
      <c r="X954" s="248"/>
    </row>
    <row r="955" spans="3:24" ht="15.85" customHeight="1">
      <c r="C955" s="270"/>
      <c r="X955" s="248"/>
    </row>
    <row r="956" spans="3:24" ht="15.85" customHeight="1">
      <c r="C956" s="270"/>
      <c r="X956" s="248"/>
    </row>
    <row r="957" spans="3:24" ht="15.85" customHeight="1">
      <c r="C957" s="270"/>
      <c r="X957" s="248"/>
    </row>
    <row r="958" spans="3:24" ht="15.85" customHeight="1">
      <c r="C958" s="270"/>
      <c r="X958" s="248"/>
    </row>
    <row r="959" spans="3:24" ht="15.85" customHeight="1">
      <c r="C959" s="270"/>
      <c r="X959" s="248"/>
    </row>
    <row r="960" spans="3:24" ht="15.85" customHeight="1">
      <c r="C960" s="270"/>
      <c r="X960" s="248"/>
    </row>
    <row r="961" spans="3:24" ht="15.85" customHeight="1">
      <c r="C961" s="270"/>
      <c r="X961" s="248"/>
    </row>
    <row r="962" spans="3:24" ht="15.85" customHeight="1">
      <c r="C962" s="270"/>
      <c r="X962" s="248"/>
    </row>
    <row r="963" spans="3:24" ht="15.85" customHeight="1">
      <c r="C963" s="270"/>
      <c r="X963" s="248"/>
    </row>
    <row r="964" spans="3:24" ht="15.85" customHeight="1">
      <c r="C964" s="270"/>
      <c r="X964" s="248"/>
    </row>
    <row r="965" spans="3:24" ht="15.85" customHeight="1">
      <c r="C965" s="270"/>
      <c r="X965" s="248"/>
    </row>
    <row r="966" spans="3:24" ht="15.85" customHeight="1">
      <c r="C966" s="270"/>
      <c r="X966" s="248"/>
    </row>
    <row r="967" spans="3:24" ht="15.85" customHeight="1">
      <c r="C967" s="270"/>
      <c r="X967" s="248"/>
    </row>
    <row r="968" spans="3:24" ht="15.85" customHeight="1">
      <c r="C968" s="270"/>
      <c r="X968" s="248"/>
    </row>
    <row r="969" spans="3:24" ht="15.85" customHeight="1">
      <c r="C969" s="270"/>
      <c r="X969" s="248"/>
    </row>
    <row r="970" spans="3:24" ht="15.85" customHeight="1">
      <c r="C970" s="270"/>
      <c r="X970" s="248"/>
    </row>
    <row r="971" spans="3:24" ht="15.85" customHeight="1">
      <c r="C971" s="270"/>
      <c r="X971" s="248"/>
    </row>
    <row r="972" spans="3:24" ht="15.85" customHeight="1">
      <c r="C972" s="270"/>
      <c r="X972" s="248"/>
    </row>
    <row r="973" spans="3:24" ht="15.85" customHeight="1">
      <c r="C973" s="270"/>
      <c r="X973" s="248"/>
    </row>
    <row r="974" spans="3:24" ht="15.85" customHeight="1">
      <c r="C974" s="270"/>
      <c r="X974" s="248"/>
    </row>
    <row r="975" spans="3:24" ht="15.85" customHeight="1">
      <c r="C975" s="270"/>
      <c r="X975" s="248"/>
    </row>
    <row r="976" spans="3:24" ht="15.85" customHeight="1">
      <c r="C976" s="270"/>
      <c r="X976" s="248"/>
    </row>
    <row r="977" spans="3:24" ht="15.85" customHeight="1">
      <c r="C977" s="270"/>
      <c r="X977" s="248"/>
    </row>
    <row r="978" spans="3:24" ht="15.85" customHeight="1">
      <c r="C978" s="270"/>
      <c r="X978" s="248"/>
    </row>
    <row r="979" spans="3:24" ht="15.85" customHeight="1">
      <c r="C979" s="270"/>
      <c r="X979" s="248"/>
    </row>
    <row r="980" spans="3:24" ht="15.85" customHeight="1">
      <c r="C980" s="270"/>
      <c r="X980" s="248"/>
    </row>
    <row r="981" spans="3:24" ht="15.85" customHeight="1">
      <c r="C981" s="270"/>
      <c r="X981" s="248"/>
    </row>
    <row r="982" spans="3:24" ht="15.85" customHeight="1">
      <c r="C982" s="270"/>
      <c r="X982" s="248"/>
    </row>
    <row r="983" spans="3:24" ht="15.85" customHeight="1">
      <c r="C983" s="270"/>
      <c r="X983" s="248"/>
    </row>
    <row r="984" spans="3:24" ht="15.85" customHeight="1">
      <c r="C984" s="270"/>
      <c r="X984" s="248"/>
    </row>
    <row r="985" spans="3:24" ht="15.85" customHeight="1">
      <c r="C985" s="270"/>
      <c r="X985" s="248"/>
    </row>
    <row r="986" spans="3:24" ht="15.85" customHeight="1">
      <c r="C986" s="270"/>
      <c r="X986" s="248"/>
    </row>
    <row r="987" spans="3:24" ht="15.85" customHeight="1">
      <c r="C987" s="270"/>
      <c r="X987" s="248"/>
    </row>
    <row r="988" spans="3:24" ht="15.85" customHeight="1">
      <c r="C988" s="270"/>
      <c r="X988" s="248"/>
    </row>
    <row r="989" spans="3:24" ht="15.85" customHeight="1">
      <c r="C989" s="270"/>
      <c r="X989" s="248"/>
    </row>
    <row r="990" spans="3:24" ht="15.85" customHeight="1">
      <c r="C990" s="270"/>
      <c r="X990" s="248"/>
    </row>
    <row r="991" spans="3:24" ht="15.85" customHeight="1">
      <c r="C991" s="270"/>
      <c r="X991" s="248"/>
    </row>
    <row r="992" spans="3:24" ht="15.85" customHeight="1">
      <c r="C992" s="270"/>
      <c r="X992" s="248"/>
    </row>
    <row r="993" spans="3:24" ht="15.85" customHeight="1">
      <c r="C993" s="270"/>
      <c r="X993" s="248"/>
    </row>
    <row r="994" spans="3:24" ht="15.85" customHeight="1">
      <c r="C994" s="270"/>
      <c r="X994" s="248"/>
    </row>
    <row r="995" spans="3:24" ht="15.85" customHeight="1">
      <c r="C995" s="270"/>
      <c r="X995" s="248"/>
    </row>
    <row r="996" spans="3:24" ht="15.85" customHeight="1">
      <c r="C996" s="270"/>
      <c r="X996" s="248"/>
    </row>
    <row r="997" spans="3:24" ht="15.85" customHeight="1">
      <c r="C997" s="270"/>
      <c r="X997" s="248"/>
    </row>
    <row r="998" spans="3:24" ht="15.85" customHeight="1">
      <c r="C998" s="270"/>
      <c r="X998" s="248"/>
    </row>
    <row r="999" spans="3:24" ht="15.85" customHeight="1">
      <c r="C999" s="270"/>
      <c r="X999" s="248"/>
    </row>
    <row r="1000" spans="3:24" ht="15.85" customHeight="1">
      <c r="C1000" s="270"/>
      <c r="X1000" s="248"/>
    </row>
    <row r="1001" spans="3:24" ht="15.85" customHeight="1">
      <c r="C1001" s="270"/>
      <c r="X1001" s="248"/>
    </row>
    <row r="1002" spans="3:24" ht="15.85" customHeight="1">
      <c r="C1002" s="270"/>
      <c r="X1002" s="248"/>
    </row>
    <row r="1003" spans="3:24" ht="15.85" customHeight="1">
      <c r="C1003" s="270"/>
      <c r="X1003" s="248"/>
    </row>
    <row r="1004" spans="3:24" ht="15.85" customHeight="1">
      <c r="C1004" s="270"/>
      <c r="X1004" s="248"/>
    </row>
    <row r="1005" spans="3:24" ht="15.85" customHeight="1">
      <c r="C1005" s="270"/>
      <c r="X1005" s="248"/>
    </row>
    <row r="1006" spans="3:24" ht="15.85" customHeight="1">
      <c r="C1006" s="270"/>
      <c r="X1006" s="248"/>
    </row>
    <row r="1007" spans="3:24" ht="15.85" customHeight="1">
      <c r="C1007" s="270"/>
      <c r="X1007" s="248"/>
    </row>
    <row r="1008" spans="3:24" ht="15.85" customHeight="1">
      <c r="C1008" s="270"/>
      <c r="X1008" s="248"/>
    </row>
    <row r="1009" spans="3:24" ht="15.85" customHeight="1">
      <c r="C1009" s="270"/>
      <c r="X1009" s="248"/>
    </row>
  </sheetData>
  <conditionalFormatting sqref="Y4">
    <cfRule type="notContainsBlanks" dxfId="0" priority="1">
      <formula>LEN(TRIM(Y4))&gt;0</formula>
    </cfRule>
  </conditionalFormatting>
  <hyperlinks>
    <hyperlink ref="Q40" r:id="rId1" xr:uid="{00000000-0004-0000-0200-000000000000}"/>
    <hyperlink ref="Q41" r:id="rId2" xr:uid="{00000000-0004-0000-0200-000001000000}"/>
    <hyperlink ref="Q42" r:id="rId3" xr:uid="{00000000-0004-0000-0200-000002000000}"/>
    <hyperlink ref="Q43" r:id="rId4" xr:uid="{00000000-0004-0000-0200-000003000000}"/>
    <hyperlink ref="Q44" r:id="rId5" xr:uid="{00000000-0004-0000-0200-000004000000}"/>
    <hyperlink ref="Q46" r:id="rId6" xr:uid="{00000000-0004-0000-0200-000005000000}"/>
  </hyperlinks>
  <pageMargins left="0.7" right="0.7" top="0.75" bottom="0.75" header="0.3" footer="0.3"/>
  <legacyDrawing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A84"/>
  <sheetViews>
    <sheetView workbookViewId="0">
      <pane xSplit="3" ySplit="1" topLeftCell="D23" activePane="bottomRight" state="frozen"/>
      <selection pane="topRight" activeCell="D1" sqref="D1"/>
      <selection pane="bottomLeft" activeCell="A2" sqref="A2"/>
      <selection pane="bottomRight" activeCell="J3" sqref="J3"/>
    </sheetView>
  </sheetViews>
  <sheetFormatPr defaultColWidth="17.33203125" defaultRowHeight="15.85" customHeight="1"/>
  <cols>
    <col min="1" max="1" width="3.88671875" customWidth="1"/>
    <col min="2" max="2" width="29.33203125" customWidth="1"/>
    <col min="3" max="3" width="23.44140625" customWidth="1"/>
    <col min="4" max="4" width="17.6640625" customWidth="1"/>
    <col min="7" max="7" width="7.6640625" customWidth="1"/>
    <col min="9" max="9" width="23.33203125" customWidth="1"/>
    <col min="10" max="10" width="8.21875" customWidth="1"/>
    <col min="11" max="11" width="12.88671875" customWidth="1"/>
    <col min="13" max="13" width="56.44140625" customWidth="1"/>
    <col min="14" max="14" width="7.33203125" customWidth="1"/>
    <col min="15" max="15" width="11.5546875" customWidth="1"/>
    <col min="16" max="16" width="18.6640625" customWidth="1"/>
    <col min="17" max="17" width="22.109375" customWidth="1"/>
    <col min="18" max="18" width="40.109375" customWidth="1"/>
    <col min="19" max="19" width="22.6640625" customWidth="1"/>
    <col min="20" max="20" width="24.5546875" customWidth="1"/>
    <col min="21" max="21" width="21.44140625" customWidth="1"/>
    <col min="23" max="23" width="0.44140625" customWidth="1"/>
    <col min="24" max="24" width="31.88671875" customWidth="1"/>
    <col min="25" max="25" width="8" customWidth="1"/>
  </cols>
  <sheetData>
    <row r="1" spans="1:27" ht="30.05">
      <c r="A1" s="2" t="s">
        <v>59</v>
      </c>
      <c r="B1" s="7" t="s">
        <v>0</v>
      </c>
      <c r="C1" s="7" t="s">
        <v>3</v>
      </c>
      <c r="D1" s="4" t="s">
        <v>5</v>
      </c>
      <c r="E1" s="4" t="s">
        <v>6</v>
      </c>
      <c r="F1" s="8" t="s">
        <v>7</v>
      </c>
      <c r="G1" s="8" t="s">
        <v>10</v>
      </c>
      <c r="H1" s="4" t="s">
        <v>13</v>
      </c>
      <c r="I1" s="4" t="s">
        <v>12</v>
      </c>
      <c r="J1" s="9" t="s">
        <v>14</v>
      </c>
      <c r="K1" s="7" t="s">
        <v>15</v>
      </c>
      <c r="L1" s="7" t="s">
        <v>16</v>
      </c>
      <c r="M1" s="7" t="s">
        <v>17</v>
      </c>
      <c r="N1" s="7" t="s">
        <v>18</v>
      </c>
      <c r="O1" s="7" t="s">
        <v>19</v>
      </c>
      <c r="P1" s="7" t="s">
        <v>20</v>
      </c>
      <c r="Q1" s="7" t="s">
        <v>22</v>
      </c>
      <c r="R1" s="7" t="s">
        <v>23</v>
      </c>
      <c r="S1" s="7" t="s">
        <v>24</v>
      </c>
      <c r="T1" s="7" t="s">
        <v>25</v>
      </c>
      <c r="U1" s="7" t="s">
        <v>26</v>
      </c>
      <c r="V1" s="8" t="s">
        <v>30</v>
      </c>
      <c r="W1" s="36" t="str">
        <f>HYPERLINK("https://www.biblegateway.com/passage/?search=Psalm ", "")</f>
        <v/>
      </c>
      <c r="X1" s="11" t="s">
        <v>61</v>
      </c>
      <c r="Y1" s="13" t="s">
        <v>32</v>
      </c>
      <c r="Z1" s="13" t="s">
        <v>34</v>
      </c>
      <c r="AA1" s="13" t="s">
        <v>62</v>
      </c>
    </row>
    <row r="2" spans="1:27" ht="15.05">
      <c r="A2" s="16">
        <f t="shared" ref="A2:A21" si="0">WEEKNUM(B2,2)-WEEKNUM(DATE(YEAR(B2),MONTH(B2),1),2)+1</f>
        <v>1</v>
      </c>
      <c r="B2" s="17">
        <v>42372</v>
      </c>
      <c r="C2" s="19" t="s">
        <v>66</v>
      </c>
      <c r="D2" s="20" t="s">
        <v>46</v>
      </c>
      <c r="E2" s="20" t="s">
        <v>43</v>
      </c>
      <c r="F2" s="22" t="s">
        <v>44</v>
      </c>
      <c r="G2" s="23" t="str">
        <f t="shared" ref="G2:G11" si="1">IF(OR(A2=2,A2=4,A2=5),"X","")</f>
        <v/>
      </c>
      <c r="H2" s="20" t="s">
        <v>68</v>
      </c>
      <c r="I2" s="20"/>
      <c r="J2" s="33"/>
      <c r="K2" s="40"/>
      <c r="L2" s="25"/>
      <c r="M2" s="20" t="s">
        <v>70</v>
      </c>
      <c r="N2" s="25"/>
      <c r="O2" s="25"/>
      <c r="P2" s="20" t="s">
        <v>55</v>
      </c>
      <c r="Q2" s="20" t="s">
        <v>72</v>
      </c>
      <c r="R2" s="20" t="s">
        <v>74</v>
      </c>
      <c r="S2" s="20" t="s">
        <v>75</v>
      </c>
      <c r="T2" s="20" t="s">
        <v>72</v>
      </c>
      <c r="U2" s="46" t="s">
        <v>77</v>
      </c>
      <c r="V2" s="22">
        <v>148</v>
      </c>
      <c r="W2" s="33"/>
      <c r="X2" s="33" t="s">
        <v>78</v>
      </c>
      <c r="Y2" s="39"/>
      <c r="Z2" s="33"/>
      <c r="AA2" s="33" t="s">
        <v>40</v>
      </c>
    </row>
    <row r="3" spans="1:27" ht="15.05">
      <c r="A3" s="16">
        <f t="shared" si="0"/>
        <v>2</v>
      </c>
      <c r="B3" s="37">
        <f>B2+7</f>
        <v>42379</v>
      </c>
      <c r="C3" s="19" t="s">
        <v>38</v>
      </c>
      <c r="D3" s="20" t="s">
        <v>43</v>
      </c>
      <c r="E3" s="20" t="s">
        <v>40</v>
      </c>
      <c r="F3" s="22" t="s">
        <v>64</v>
      </c>
      <c r="G3" s="23" t="str">
        <f t="shared" si="1"/>
        <v>X</v>
      </c>
      <c r="H3" s="20" t="s">
        <v>46</v>
      </c>
      <c r="I3" s="20" t="s">
        <v>40</v>
      </c>
      <c r="J3" s="33"/>
      <c r="K3" s="28" t="str">
        <f>HYPERLINK("https://drive.google.com/drive/folders/0B4o9FS6Fg-3ebXB3b04tTzVEcTQ","Service notes")</f>
        <v>Service notes</v>
      </c>
      <c r="L3" s="25"/>
      <c r="M3" s="20" t="s">
        <v>81</v>
      </c>
      <c r="N3" s="25"/>
      <c r="O3" s="25"/>
      <c r="P3" s="20" t="s">
        <v>56</v>
      </c>
      <c r="Q3" s="20" t="s">
        <v>85</v>
      </c>
      <c r="R3" s="20" t="s">
        <v>86</v>
      </c>
      <c r="S3" s="28" t="str">
        <f>HYPERLINK("https://www.biblegateway.com/passage/?search=1%20Samuel%2016:1-13","1 Samuel 16:1-13")</f>
        <v>1 Samuel 16:1-13</v>
      </c>
      <c r="T3" s="28" t="str">
        <f>HYPERLINK("https://www.biblegateway.com/passage/?search=Titus+3:4-7","Titus 3:4-7")</f>
        <v>Titus 3:4-7</v>
      </c>
      <c r="U3" s="28" t="str">
        <f>HYPERLINK("https://www.biblegateway.com/passage/?search=Luke+3%3A15-17%2CLuke+3%3A21-22&amp;version=NIV","Luke 3:15-17,21,22")</f>
        <v>Luke 3:15-17,21,22</v>
      </c>
      <c r="V3" s="22" t="s">
        <v>88</v>
      </c>
      <c r="W3" s="33"/>
      <c r="X3" s="33" t="s">
        <v>89</v>
      </c>
      <c r="Y3" s="39"/>
      <c r="Z3" s="26"/>
      <c r="AA3" s="33" t="s">
        <v>40</v>
      </c>
    </row>
    <row r="4" spans="1:27" ht="15.05">
      <c r="A4" s="16">
        <f t="shared" si="0"/>
        <v>3</v>
      </c>
      <c r="B4" s="41">
        <f t="shared" ref="B4:B7" si="2">B3+7</f>
        <v>42386</v>
      </c>
      <c r="C4" s="42" t="s">
        <v>71</v>
      </c>
      <c r="D4" s="43" t="s">
        <v>46</v>
      </c>
      <c r="E4" s="43" t="s">
        <v>40</v>
      </c>
      <c r="F4" s="44" t="s">
        <v>90</v>
      </c>
      <c r="G4" s="45" t="str">
        <f t="shared" si="1"/>
        <v/>
      </c>
      <c r="H4" s="43" t="s">
        <v>43</v>
      </c>
      <c r="I4" s="43" t="s">
        <v>40</v>
      </c>
      <c r="J4" s="53"/>
      <c r="K4" s="49" t="str">
        <f>HYPERLINK("https://drive.google.com/drive/folders/0B4o9FS6Fg-3eaFd0N202N0UyY3c","Service notes")</f>
        <v>Service notes</v>
      </c>
      <c r="L4" s="51"/>
      <c r="M4" s="43" t="s">
        <v>91</v>
      </c>
      <c r="N4" s="51"/>
      <c r="O4" s="51"/>
      <c r="P4" s="43" t="s">
        <v>84</v>
      </c>
      <c r="Q4" s="43" t="s">
        <v>97</v>
      </c>
      <c r="R4" s="43" t="s">
        <v>98</v>
      </c>
      <c r="S4" s="49" t="str">
        <f>HYPERLINK("https://www.biblegateway.com/passage/?search=Isaiah+62:1-5","Isaiah 62:1-5")</f>
        <v>Isaiah 62:1-5</v>
      </c>
      <c r="T4" s="49" t="str">
        <f>HYPERLINK("https://www.biblegateway.com/passage/?search=1%20Corinthians%2012:1-11","1 Corinthians 12:1-11")</f>
        <v>1 Corinthians 12:1-11</v>
      </c>
      <c r="U4" s="49" t="str">
        <f>HYPERLINK("https://www.biblegateway.com/passage/?search=John+2%3A1-11","John 2:1-11")</f>
        <v>John 2:1-11</v>
      </c>
      <c r="V4" s="44" t="s">
        <v>103</v>
      </c>
      <c r="W4" s="47"/>
      <c r="X4" s="47" t="s">
        <v>104</v>
      </c>
      <c r="Y4" s="39"/>
      <c r="Z4" s="53"/>
      <c r="AA4" s="47" t="s">
        <v>40</v>
      </c>
    </row>
    <row r="5" spans="1:27" ht="15.05">
      <c r="A5" s="16">
        <f t="shared" si="0"/>
        <v>4</v>
      </c>
      <c r="B5" s="41">
        <f t="shared" si="2"/>
        <v>42393</v>
      </c>
      <c r="C5" s="51" t="s">
        <v>93</v>
      </c>
      <c r="D5" s="43" t="s">
        <v>43</v>
      </c>
      <c r="E5" s="43" t="s">
        <v>46</v>
      </c>
      <c r="F5" s="44" t="s">
        <v>64</v>
      </c>
      <c r="G5" s="44" t="str">
        <f t="shared" si="1"/>
        <v>X</v>
      </c>
      <c r="H5" s="43" t="s">
        <v>46</v>
      </c>
      <c r="I5" s="43" t="s">
        <v>40</v>
      </c>
      <c r="J5" s="47"/>
      <c r="K5" s="49" t="str">
        <f t="shared" ref="K5:K8" si="3">HYPERLINK("https://drive.google.com/drive/folders/0B4o9FS6Fg-3ebXB3b04tTzVEcTQ","Service notes")</f>
        <v>Service notes</v>
      </c>
      <c r="L5" s="51"/>
      <c r="M5" s="43" t="s">
        <v>105</v>
      </c>
      <c r="N5" s="51"/>
      <c r="O5" s="51"/>
      <c r="P5" s="43" t="s">
        <v>99</v>
      </c>
      <c r="Q5" s="43" t="s">
        <v>109</v>
      </c>
      <c r="R5" s="43" t="s">
        <v>110</v>
      </c>
      <c r="S5" s="49" t="str">
        <f>HYPERLINK("https://www.biblegateway.com/passage/?search=Isaiah+61:1-6","Isaiah 61:1-6")</f>
        <v>Isaiah 61:1-6</v>
      </c>
      <c r="T5" s="49" t="str">
        <f>HYPERLINK("https://www.biblegateway.com/passage/?search=1+Corinthians+12%3A12-21%2C1+Corinthians+12%3A26-27&amp;version=NKJV","1 Cor. 12:12-21,26,27")</f>
        <v>1 Cor. 12:12-21,26,27</v>
      </c>
      <c r="U5" s="49" t="str">
        <f>HYPERLINK("https://www.biblegateway.com/passage/?search=Luke+4:14-21","Luke 4:14-21")</f>
        <v>Luke 4:14-21</v>
      </c>
      <c r="V5" s="44" t="s">
        <v>116</v>
      </c>
      <c r="W5" s="47"/>
      <c r="X5" s="47" t="s">
        <v>117</v>
      </c>
      <c r="Y5" s="39"/>
      <c r="Z5" s="47" t="s">
        <v>118</v>
      </c>
      <c r="AA5" s="47" t="s">
        <v>40</v>
      </c>
    </row>
    <row r="6" spans="1:27" ht="15.05">
      <c r="A6" s="16">
        <f t="shared" si="0"/>
        <v>5</v>
      </c>
      <c r="B6" s="41">
        <f t="shared" si="2"/>
        <v>42400</v>
      </c>
      <c r="C6" s="51" t="s">
        <v>107</v>
      </c>
      <c r="D6" s="43" t="s">
        <v>63</v>
      </c>
      <c r="E6" s="43" t="s">
        <v>40</v>
      </c>
      <c r="F6" s="44" t="s">
        <v>119</v>
      </c>
      <c r="G6" s="45" t="str">
        <f t="shared" si="1"/>
        <v>X</v>
      </c>
      <c r="H6" s="58" t="s">
        <v>120</v>
      </c>
      <c r="I6" s="58" t="s">
        <v>120</v>
      </c>
      <c r="J6" s="47"/>
      <c r="K6" s="49" t="str">
        <f t="shared" si="3"/>
        <v>Service notes</v>
      </c>
      <c r="L6" s="51"/>
      <c r="M6" s="43" t="s">
        <v>124</v>
      </c>
      <c r="N6" s="51"/>
      <c r="O6" s="51"/>
      <c r="P6" s="43" t="s">
        <v>111</v>
      </c>
      <c r="Q6" s="43" t="s">
        <v>128</v>
      </c>
      <c r="R6" s="43" t="s">
        <v>129</v>
      </c>
      <c r="S6" s="49" t="str">
        <f>HYPERLINK("https://www.biblegateway.com/passage/?search=Jeremiah%201:4-10","Jeremiah 1:4-10")</f>
        <v>Jeremiah 1:4-10</v>
      </c>
      <c r="T6" s="49" t="str">
        <f>HYPERLINK("https://www.biblegateway.com/passage/?search=1%20Corinthians%2012:27-13:13","1 Cor. 12:27-13:13")</f>
        <v>1 Cor. 12:27-13:13</v>
      </c>
      <c r="U6" s="49" t="str">
        <f>HYPERLINK("https://www.biblegateway.com/passage/?search=Luke+4%3A20-32&amp;version=NIV","Luke 4:20-32")</f>
        <v>Luke 4:20-32</v>
      </c>
      <c r="V6" s="44" t="s">
        <v>133</v>
      </c>
      <c r="W6" s="47"/>
      <c r="X6" s="47" t="s">
        <v>134</v>
      </c>
      <c r="Y6" s="61"/>
      <c r="Z6" s="47" t="s">
        <v>135</v>
      </c>
      <c r="AA6" s="47" t="s">
        <v>40</v>
      </c>
    </row>
    <row r="7" spans="1:27" ht="30.05">
      <c r="A7" s="16">
        <f t="shared" si="0"/>
        <v>1</v>
      </c>
      <c r="B7" s="37">
        <f t="shared" si="2"/>
        <v>42407</v>
      </c>
      <c r="C7" s="20" t="s">
        <v>136</v>
      </c>
      <c r="D7" s="20" t="s">
        <v>43</v>
      </c>
      <c r="E7" s="20" t="s">
        <v>43</v>
      </c>
      <c r="F7" s="22" t="s">
        <v>137</v>
      </c>
      <c r="G7" s="22" t="str">
        <f t="shared" si="1"/>
        <v/>
      </c>
      <c r="H7" s="20" t="s">
        <v>46</v>
      </c>
      <c r="I7" s="20" t="s">
        <v>40</v>
      </c>
      <c r="J7" s="33"/>
      <c r="K7" s="28" t="str">
        <f t="shared" si="3"/>
        <v>Service notes</v>
      </c>
      <c r="L7" s="25"/>
      <c r="M7" s="20" t="s">
        <v>127</v>
      </c>
      <c r="N7" s="25"/>
      <c r="O7" s="25"/>
      <c r="P7" s="20" t="s">
        <v>146</v>
      </c>
      <c r="Q7" s="20" t="s">
        <v>147</v>
      </c>
      <c r="R7" s="20" t="s">
        <v>148</v>
      </c>
      <c r="S7" s="28" t="str">
        <f>HYPERLINK("https://www.biblegateway.com/passage/?search=Exodus%2034:29-35","Exodus 34:29-35")</f>
        <v>Exodus 34:29-35</v>
      </c>
      <c r="T7" s="28" t="str">
        <f>HYPERLINK("https://www.biblegateway.com/passage/?search=2%20Corinthians%204:3-6","2 Corinthians 4:3-6")</f>
        <v>2 Corinthians 4:3-6</v>
      </c>
      <c r="U7" s="20" t="s">
        <v>149</v>
      </c>
      <c r="V7" s="22" t="s">
        <v>150</v>
      </c>
      <c r="W7" s="33"/>
      <c r="X7" s="33" t="s">
        <v>151</v>
      </c>
      <c r="Y7" s="34"/>
      <c r="Z7" s="33" t="s">
        <v>152</v>
      </c>
      <c r="AA7" s="33" t="s">
        <v>60</v>
      </c>
    </row>
    <row r="8" spans="1:27" ht="15.05">
      <c r="A8" s="16">
        <f t="shared" si="0"/>
        <v>2</v>
      </c>
      <c r="B8" s="63">
        <f>B7+3</f>
        <v>42410</v>
      </c>
      <c r="C8" s="64" t="s">
        <v>153</v>
      </c>
      <c r="D8" s="64" t="s">
        <v>46</v>
      </c>
      <c r="E8" s="64" t="s">
        <v>40</v>
      </c>
      <c r="F8" s="65" t="s">
        <v>64</v>
      </c>
      <c r="G8" s="65" t="str">
        <f t="shared" si="1"/>
        <v>X</v>
      </c>
      <c r="H8" s="66"/>
      <c r="I8" s="64"/>
      <c r="J8" s="67"/>
      <c r="K8" s="28" t="str">
        <f t="shared" si="3"/>
        <v>Service notes</v>
      </c>
      <c r="L8" s="25"/>
      <c r="M8" s="20" t="s">
        <v>155</v>
      </c>
      <c r="N8" s="25"/>
      <c r="O8" s="25"/>
      <c r="P8" s="25"/>
      <c r="Q8" s="20" t="s">
        <v>158</v>
      </c>
      <c r="R8" s="20" t="s">
        <v>159</v>
      </c>
      <c r="S8" s="20"/>
      <c r="T8" s="20"/>
      <c r="U8" s="20"/>
      <c r="V8" s="22" t="s">
        <v>160</v>
      </c>
      <c r="W8" s="33"/>
      <c r="X8" s="33" t="s">
        <v>161</v>
      </c>
      <c r="Y8" s="34"/>
      <c r="Z8" s="33" t="s">
        <v>162</v>
      </c>
      <c r="AA8" s="33" t="s">
        <v>60</v>
      </c>
    </row>
    <row r="9" spans="1:27" ht="15.05">
      <c r="A9" s="16">
        <f t="shared" si="0"/>
        <v>2</v>
      </c>
      <c r="B9" s="68">
        <f>B7+7</f>
        <v>42414</v>
      </c>
      <c r="C9" s="69" t="s">
        <v>163</v>
      </c>
      <c r="D9" s="70" t="s">
        <v>40</v>
      </c>
      <c r="E9" s="70" t="s">
        <v>46</v>
      </c>
      <c r="F9" s="71" t="s">
        <v>44</v>
      </c>
      <c r="G9" s="71" t="str">
        <f t="shared" si="1"/>
        <v>X</v>
      </c>
      <c r="H9" s="70" t="s">
        <v>43</v>
      </c>
      <c r="I9" s="70" t="s">
        <v>46</v>
      </c>
      <c r="J9" s="73"/>
      <c r="K9" s="74" t="str">
        <f>HYPERLINK("https://drive.google.com/drive/folders/0B4o9FS6Fg-3eTU1jQUtMTG1pSVE","Service notes")</f>
        <v>Service notes</v>
      </c>
      <c r="L9" s="69"/>
      <c r="M9" s="70" t="s">
        <v>172</v>
      </c>
      <c r="N9" s="69"/>
      <c r="O9" s="69"/>
      <c r="P9" s="70" t="s">
        <v>177</v>
      </c>
      <c r="Q9" s="70" t="s">
        <v>178</v>
      </c>
      <c r="R9" s="70" t="s">
        <v>180</v>
      </c>
      <c r="S9" s="74" t="str">
        <f>HYPERLINK("https://www.biblegateway.com/passage/?search=Deuteronomy+26%3A5-10%2CRomans+10%3A8-13%2CLuke+4%3A1-13%2CPsalm+91&amp;version=NIV","Dt. 26:5-10")</f>
        <v>Dt. 26:5-10</v>
      </c>
      <c r="T9" s="74" t="str">
        <f>HYPERLINK("https://www.biblegateway.com/passage/?search=Romans%2010:8-13","Romans 10:8b-13")</f>
        <v>Romans 10:8b-13</v>
      </c>
      <c r="U9" s="74" t="str">
        <f>HYPERLINK("https://www.biblegateway.com/passage/?search=Luke+4:1-13","Luke 4:1-13")</f>
        <v>Luke 4:1-13</v>
      </c>
      <c r="V9" s="71" t="s">
        <v>184</v>
      </c>
      <c r="W9" s="75"/>
      <c r="X9" s="75" t="s">
        <v>185</v>
      </c>
      <c r="Y9" s="34"/>
      <c r="Z9" s="73"/>
      <c r="AA9" s="75" t="s">
        <v>60</v>
      </c>
    </row>
    <row r="10" spans="1:27" ht="15.05">
      <c r="A10" s="16">
        <f t="shared" si="0"/>
        <v>3</v>
      </c>
      <c r="B10" s="68">
        <f>B9+3</f>
        <v>42417</v>
      </c>
      <c r="C10" s="70" t="s">
        <v>187</v>
      </c>
      <c r="D10" s="70" t="s">
        <v>188</v>
      </c>
      <c r="E10" s="70" t="s">
        <v>46</v>
      </c>
      <c r="F10" s="71" t="s">
        <v>44</v>
      </c>
      <c r="G10" s="78" t="str">
        <f t="shared" si="1"/>
        <v/>
      </c>
      <c r="H10" s="70"/>
      <c r="I10" s="70"/>
      <c r="J10" s="73"/>
      <c r="K10" s="74" t="str">
        <f>HYPERLINK("https://drive.google.com/drive/folders/0B4o9FS6Fg-3eWXRPU1pYX3YzVm8","Service Notes")</f>
        <v>Service Notes</v>
      </c>
      <c r="L10" s="69"/>
      <c r="M10" s="70" t="s">
        <v>189</v>
      </c>
      <c r="N10" s="70"/>
      <c r="O10" s="69"/>
      <c r="P10" s="69"/>
      <c r="Q10" s="70" t="s">
        <v>192</v>
      </c>
      <c r="R10" s="70" t="s">
        <v>193</v>
      </c>
      <c r="S10" s="70" t="s">
        <v>194</v>
      </c>
      <c r="T10" s="70"/>
      <c r="U10" s="70"/>
      <c r="V10" s="71" t="s">
        <v>195</v>
      </c>
      <c r="W10" s="75"/>
      <c r="X10" s="75" t="s">
        <v>196</v>
      </c>
      <c r="Y10" s="34"/>
      <c r="Z10" s="73"/>
      <c r="AA10" s="75" t="s">
        <v>40</v>
      </c>
    </row>
    <row r="11" spans="1:27" ht="15.05">
      <c r="A11" s="16">
        <f t="shared" si="0"/>
        <v>3</v>
      </c>
      <c r="B11" s="68">
        <f>B9+7</f>
        <v>42421</v>
      </c>
      <c r="C11" s="69" t="s">
        <v>197</v>
      </c>
      <c r="D11" s="70" t="s">
        <v>43</v>
      </c>
      <c r="E11" s="70" t="s">
        <v>43</v>
      </c>
      <c r="F11" s="71" t="s">
        <v>90</v>
      </c>
      <c r="G11" s="78" t="str">
        <f t="shared" si="1"/>
        <v/>
      </c>
      <c r="H11" s="70" t="s">
        <v>40</v>
      </c>
      <c r="I11" s="70" t="s">
        <v>46</v>
      </c>
      <c r="J11" s="73"/>
      <c r="K11" s="74" t="str">
        <f>HYPERLINK("https://drive.google.com/drive/folders/0B4o9FS6Fg-3eNFpYWmd6a0hublE","Service Notes")</f>
        <v>Service Notes</v>
      </c>
      <c r="L11" s="69"/>
      <c r="M11" s="70" t="s">
        <v>199</v>
      </c>
      <c r="N11" s="69"/>
      <c r="O11" s="69"/>
      <c r="P11" s="70" t="s">
        <v>203</v>
      </c>
      <c r="Q11" s="74" t="str">
        <f>HYPERLINK("https://www.biblegateway.com/passage/?search=Philippians%203:17-4:1","Philippians 3:17-4:1")</f>
        <v>Philippians 3:17-4:1</v>
      </c>
      <c r="R11" s="70" t="s">
        <v>204</v>
      </c>
      <c r="S11" s="74" t="str">
        <f>HYPERLINK("https://www.biblegateway.com/passage/?search=Jeremiah+26:8-15","Jeremiah 26:8-15")</f>
        <v>Jeremiah 26:8-15</v>
      </c>
      <c r="T11" s="74" t="str">
        <f>HYPERLINK("https://www.biblegateway.com/passage/?search=Philippians%203:17-4:1","Philippians 3:17-4:1")</f>
        <v>Philippians 3:17-4:1</v>
      </c>
      <c r="U11" s="74" t="str">
        <f>HYPERLINK("https://www.biblegateway.com/passage/?search=Luke%2013:31-35","Luke 13:31-35")</f>
        <v>Luke 13:31-35</v>
      </c>
      <c r="V11" s="71" t="s">
        <v>207</v>
      </c>
      <c r="W11" s="82"/>
      <c r="X11" s="82" t="s">
        <v>210</v>
      </c>
      <c r="Y11" s="34"/>
      <c r="Z11" s="75" t="s">
        <v>165</v>
      </c>
      <c r="AA11" s="75" t="s">
        <v>60</v>
      </c>
    </row>
    <row r="12" spans="1:27" ht="15.05">
      <c r="A12" s="16">
        <f t="shared" si="0"/>
        <v>4</v>
      </c>
      <c r="B12" s="68">
        <f>B11+3</f>
        <v>42424</v>
      </c>
      <c r="C12" s="70" t="s">
        <v>211</v>
      </c>
      <c r="D12" s="70" t="s">
        <v>63</v>
      </c>
      <c r="E12" s="70" t="s">
        <v>63</v>
      </c>
      <c r="F12" s="71" t="s">
        <v>44</v>
      </c>
      <c r="G12" s="71"/>
      <c r="H12" s="70"/>
      <c r="I12" s="70"/>
      <c r="J12" s="84"/>
      <c r="K12" s="74" t="str">
        <f>HYPERLINK("https://drive.google.com/drive/folders/0B4o9FS6Fg-3eWFpmQjE3NXVEdGs","Service Notes")</f>
        <v>Service Notes</v>
      </c>
      <c r="L12" s="69"/>
      <c r="M12" s="70" t="s">
        <v>214</v>
      </c>
      <c r="N12" s="69"/>
      <c r="O12" s="69"/>
      <c r="P12" s="69"/>
      <c r="Q12" s="70" t="s">
        <v>217</v>
      </c>
      <c r="R12" s="70" t="s">
        <v>218</v>
      </c>
      <c r="S12" s="70" t="s">
        <v>194</v>
      </c>
      <c r="T12" s="70"/>
      <c r="U12" s="70"/>
      <c r="V12" s="71">
        <v>38</v>
      </c>
      <c r="W12" s="75"/>
      <c r="X12" s="75" t="s">
        <v>219</v>
      </c>
      <c r="Y12" s="34"/>
      <c r="Z12" s="86"/>
      <c r="AA12" s="75" t="s">
        <v>40</v>
      </c>
    </row>
    <row r="13" spans="1:27" ht="15.05">
      <c r="A13" s="16">
        <f t="shared" si="0"/>
        <v>4</v>
      </c>
      <c r="B13" s="68">
        <f>B11+7</f>
        <v>42428</v>
      </c>
      <c r="C13" s="69" t="s">
        <v>220</v>
      </c>
      <c r="D13" s="70" t="s">
        <v>63</v>
      </c>
      <c r="E13" s="70" t="s">
        <v>46</v>
      </c>
      <c r="F13" s="71" t="s">
        <v>221</v>
      </c>
      <c r="G13" s="71" t="str">
        <f t="shared" ref="G13:G15" si="4">IF(OR(A13=2,A13=4,A13=5),"X","")</f>
        <v>X</v>
      </c>
      <c r="H13" s="70" t="s">
        <v>43</v>
      </c>
      <c r="I13" s="70" t="s">
        <v>46</v>
      </c>
      <c r="J13" s="75"/>
      <c r="K13" s="74" t="str">
        <f>HYPERLINK("https://drive.google.com/drive/folders/0B4o9FS6Fg-3eUW5zd3YzVWN2WVE","Service Notes")</f>
        <v>Service Notes</v>
      </c>
      <c r="L13" s="69"/>
      <c r="M13" s="70" t="s">
        <v>223</v>
      </c>
      <c r="N13" s="69"/>
      <c r="O13" s="69"/>
      <c r="P13" s="70" t="s">
        <v>224</v>
      </c>
      <c r="Q13" s="70" t="s">
        <v>225</v>
      </c>
      <c r="R13" s="70" t="s">
        <v>226</v>
      </c>
      <c r="S13" s="74" t="str">
        <f>HYPERLINK("https://www.biblegateway.com/passage/?search=Exodus+3:10-15","Exodus 3:1-8b,10-15")</f>
        <v>Exodus 3:1-8b,10-15</v>
      </c>
      <c r="T13" s="74" t="str">
        <f>HYPERLINK("https://www.biblegateway.com/passage/?search=1%20Corinthians%2010:1-13","1 Corinthians 10:1-13")</f>
        <v>1 Corinthians 10:1-13</v>
      </c>
      <c r="U13" s="70" t="s">
        <v>230</v>
      </c>
      <c r="V13" s="71">
        <v>38</v>
      </c>
      <c r="W13" s="86"/>
      <c r="X13" s="86" t="s">
        <v>221</v>
      </c>
      <c r="Y13" s="34"/>
      <c r="Z13" s="75" t="s">
        <v>231</v>
      </c>
      <c r="AA13" s="75" t="s">
        <v>60</v>
      </c>
    </row>
    <row r="14" spans="1:27" ht="15.05">
      <c r="A14" s="16">
        <f t="shared" si="0"/>
        <v>1</v>
      </c>
      <c r="B14" s="68">
        <f>B13+3</f>
        <v>42431</v>
      </c>
      <c r="C14" s="70" t="s">
        <v>232</v>
      </c>
      <c r="D14" s="70" t="s">
        <v>46</v>
      </c>
      <c r="E14" s="70" t="s">
        <v>46</v>
      </c>
      <c r="F14" s="71" t="s">
        <v>233</v>
      </c>
      <c r="G14" s="71" t="str">
        <f t="shared" si="4"/>
        <v/>
      </c>
      <c r="H14" s="69"/>
      <c r="I14" s="70"/>
      <c r="J14" s="73"/>
      <c r="K14" s="74" t="str">
        <f>HYPERLINK("https://drive.google.com/drive/folders/0B4o9FS6Fg-3ebXB3b04tTzVEcTQ","Service Notes")</f>
        <v>Service Notes</v>
      </c>
      <c r="L14" s="69"/>
      <c r="M14" s="70" t="s">
        <v>214</v>
      </c>
      <c r="N14" s="69"/>
      <c r="O14" s="69"/>
      <c r="P14" s="69"/>
      <c r="Q14" s="70" t="s">
        <v>234</v>
      </c>
      <c r="R14" s="70" t="s">
        <v>235</v>
      </c>
      <c r="S14" s="70" t="s">
        <v>194</v>
      </c>
      <c r="T14" s="70"/>
      <c r="U14" s="70"/>
      <c r="V14" s="71" t="s">
        <v>236</v>
      </c>
      <c r="W14" s="75"/>
      <c r="X14" s="75" t="s">
        <v>237</v>
      </c>
      <c r="Y14" s="34"/>
      <c r="Z14" s="73"/>
      <c r="AA14" s="75" t="s">
        <v>40</v>
      </c>
    </row>
    <row r="15" spans="1:27" ht="15.05">
      <c r="A15" s="16">
        <f t="shared" si="0"/>
        <v>1</v>
      </c>
      <c r="B15" s="68">
        <f>B13+7</f>
        <v>42435</v>
      </c>
      <c r="C15" s="69" t="s">
        <v>238</v>
      </c>
      <c r="D15" s="70" t="s">
        <v>40</v>
      </c>
      <c r="E15" s="70" t="s">
        <v>40</v>
      </c>
      <c r="F15" s="71" t="s">
        <v>44</v>
      </c>
      <c r="G15" s="71" t="str">
        <f t="shared" si="4"/>
        <v/>
      </c>
      <c r="H15" s="70" t="s">
        <v>43</v>
      </c>
      <c r="I15" s="70" t="s">
        <v>46</v>
      </c>
      <c r="J15" s="75"/>
      <c r="K15" s="74" t="str">
        <f>HYPERLINK("https://drive.google.com/drive/folders/0B4o9FS6Fg-3ec3pZdzE0Tjh1Wms","Service Notes")</f>
        <v>Service Notes</v>
      </c>
      <c r="L15" s="69"/>
      <c r="M15" s="70" t="s">
        <v>240</v>
      </c>
      <c r="N15" s="69"/>
      <c r="O15" s="69"/>
      <c r="P15" s="70" t="s">
        <v>243</v>
      </c>
      <c r="Q15" s="74" t="str">
        <f>HYPERLINK("https://www.biblegateway.com/passage/?search=Luke+15%3A1-3%2CLuke+15%3A11-32","Luke 15:1-3,11b-32")</f>
        <v>Luke 15:1-3,11b-32</v>
      </c>
      <c r="R15" s="70" t="s">
        <v>244</v>
      </c>
      <c r="S15" s="70" t="s">
        <v>245</v>
      </c>
      <c r="T15" s="70" t="s">
        <v>246</v>
      </c>
      <c r="U15" s="70" t="s">
        <v>247</v>
      </c>
      <c r="V15" s="71" t="s">
        <v>248</v>
      </c>
      <c r="W15" s="75"/>
      <c r="X15" s="75" t="s">
        <v>249</v>
      </c>
      <c r="Y15" s="34"/>
      <c r="Z15" s="75" t="s">
        <v>152</v>
      </c>
      <c r="AA15" s="75" t="s">
        <v>168</v>
      </c>
    </row>
    <row r="16" spans="1:27" ht="15.05">
      <c r="A16" s="16">
        <f t="shared" si="0"/>
        <v>2</v>
      </c>
      <c r="B16" s="68">
        <f>B15+3</f>
        <v>42438</v>
      </c>
      <c r="C16" s="70" t="s">
        <v>250</v>
      </c>
      <c r="D16" s="70" t="s">
        <v>201</v>
      </c>
      <c r="E16" s="70" t="s">
        <v>251</v>
      </c>
      <c r="F16" s="71" t="s">
        <v>233</v>
      </c>
      <c r="G16" s="78"/>
      <c r="H16" s="69"/>
      <c r="I16" s="70"/>
      <c r="J16" s="75"/>
      <c r="K16" s="74" t="str">
        <f>HYPERLINK("https://drive.google.com/drive/u/0/folders/0B4o9FS6Fg-3ebXB3b04tTzVEcTQ","Service Notes")</f>
        <v>Service Notes</v>
      </c>
      <c r="L16" s="69"/>
      <c r="M16" s="70" t="s">
        <v>214</v>
      </c>
      <c r="N16" s="69"/>
      <c r="O16" s="69"/>
      <c r="P16" s="69"/>
      <c r="Q16" s="70" t="s">
        <v>255</v>
      </c>
      <c r="R16" s="70" t="s">
        <v>257</v>
      </c>
      <c r="S16" s="70" t="s">
        <v>194</v>
      </c>
      <c r="T16" s="70"/>
      <c r="U16" s="70"/>
      <c r="V16" s="71">
        <v>2</v>
      </c>
      <c r="W16" s="75"/>
      <c r="X16" s="75" t="s">
        <v>258</v>
      </c>
      <c r="Y16" s="34"/>
      <c r="Z16" s="75" t="s">
        <v>259</v>
      </c>
      <c r="AA16" s="75" t="s">
        <v>40</v>
      </c>
    </row>
    <row r="17" spans="1:27" ht="15.05">
      <c r="A17" s="16">
        <f t="shared" si="0"/>
        <v>2</v>
      </c>
      <c r="B17" s="68">
        <f>B15+7</f>
        <v>42442</v>
      </c>
      <c r="C17" s="69" t="s">
        <v>262</v>
      </c>
      <c r="D17" s="70" t="s">
        <v>43</v>
      </c>
      <c r="E17" s="70" t="s">
        <v>46</v>
      </c>
      <c r="F17" s="71" t="s">
        <v>263</v>
      </c>
      <c r="G17" s="78" t="str">
        <f t="shared" ref="G17:G21" si="5">IF(OR(A17=2,A17=4,A17=5),"X","")</f>
        <v>X</v>
      </c>
      <c r="H17" s="70" t="s">
        <v>264</v>
      </c>
      <c r="I17" s="70" t="s">
        <v>46</v>
      </c>
      <c r="J17" s="75"/>
      <c r="K17" s="74" t="str">
        <f>HYPERLINK("https://drive.google.com/drive/u/0/folders/0B4o9FS6Fg-3eTVY0cW9VeThjNUE","Service Notes")</f>
        <v>Service Notes</v>
      </c>
      <c r="L17" s="69"/>
      <c r="M17" s="70" t="s">
        <v>266</v>
      </c>
      <c r="N17" s="69"/>
      <c r="O17" s="69"/>
      <c r="P17" s="70" t="s">
        <v>269</v>
      </c>
      <c r="Q17" s="70" t="s">
        <v>270</v>
      </c>
      <c r="R17" s="70"/>
      <c r="S17" s="74" t="str">
        <f>HYPERLINK("https://www.biblegateway.com/passage/?search=Isaiah%2043:16-21","Isaiah 43:16-21")</f>
        <v>Isaiah 43:16-21</v>
      </c>
      <c r="T17" s="74" t="str">
        <f>HYPERLINK("https://www.biblegateway.com/passage/?search=Philippians%203:8-14","Philippians 3:8-14")</f>
        <v>Philippians 3:8-14</v>
      </c>
      <c r="U17" s="74" t="str">
        <f>HYPERLINK("https://www.biblegateway.com/passage/?search=Luke+20:9-19","Luke 20:9-19")</f>
        <v>Luke 20:9-19</v>
      </c>
      <c r="V17" s="71">
        <v>73</v>
      </c>
      <c r="W17" s="75"/>
      <c r="X17" s="75" t="s">
        <v>273</v>
      </c>
      <c r="Y17" s="34"/>
      <c r="Z17" s="75"/>
      <c r="AA17" s="75" t="s">
        <v>168</v>
      </c>
    </row>
    <row r="18" spans="1:27" ht="15.05">
      <c r="A18" s="16">
        <f t="shared" si="0"/>
        <v>3</v>
      </c>
      <c r="B18" s="68">
        <f>B17+3</f>
        <v>42445</v>
      </c>
      <c r="C18" s="70" t="s">
        <v>275</v>
      </c>
      <c r="D18" s="70" t="s">
        <v>276</v>
      </c>
      <c r="E18" s="70" t="s">
        <v>40</v>
      </c>
      <c r="F18" s="71" t="s">
        <v>90</v>
      </c>
      <c r="G18" s="71" t="str">
        <f t="shared" si="5"/>
        <v/>
      </c>
      <c r="H18" s="69"/>
      <c r="I18" s="70"/>
      <c r="J18" s="75"/>
      <c r="K18" s="74" t="str">
        <f>HYPERLINK("https://drive.google.com/drive/folders/0B4o9FS6Fg-3ec016bU5rS3g3Y3c","Service Notes")</f>
        <v>Service Notes</v>
      </c>
      <c r="L18" s="69"/>
      <c r="M18" s="70" t="s">
        <v>279</v>
      </c>
      <c r="N18" s="69"/>
      <c r="O18" s="69"/>
      <c r="P18" s="69"/>
      <c r="Q18" s="70" t="s">
        <v>280</v>
      </c>
      <c r="R18" s="70" t="s">
        <v>281</v>
      </c>
      <c r="S18" s="70" t="s">
        <v>194</v>
      </c>
      <c r="T18" s="70"/>
      <c r="U18" s="70"/>
      <c r="V18" s="71">
        <v>6</v>
      </c>
      <c r="W18" s="75"/>
      <c r="X18" s="75" t="s">
        <v>282</v>
      </c>
      <c r="Y18" s="34"/>
      <c r="Z18" s="75" t="s">
        <v>283</v>
      </c>
      <c r="AA18" s="75" t="s">
        <v>40</v>
      </c>
    </row>
    <row r="19" spans="1:27" ht="15.05">
      <c r="A19" s="16">
        <f t="shared" si="0"/>
        <v>3</v>
      </c>
      <c r="B19" s="68">
        <f>B17+7</f>
        <v>42449</v>
      </c>
      <c r="C19" s="70" t="s">
        <v>284</v>
      </c>
      <c r="D19" s="70" t="s">
        <v>40</v>
      </c>
      <c r="E19" s="70" t="s">
        <v>40</v>
      </c>
      <c r="F19" s="71" t="s">
        <v>64</v>
      </c>
      <c r="G19" s="71" t="str">
        <f t="shared" si="5"/>
        <v/>
      </c>
      <c r="H19" s="70" t="s">
        <v>43</v>
      </c>
      <c r="I19" s="70" t="s">
        <v>46</v>
      </c>
      <c r="J19" s="75"/>
      <c r="K19" s="74" t="str">
        <f>HYPERLINK("https://drive.google.com/drive/u/0/folders/0B4o9FS6Fg-3ebXB3b04tTzVEcTQ","Service Notes")</f>
        <v>Service Notes</v>
      </c>
      <c r="L19" s="69"/>
      <c r="M19" s="70" t="s">
        <v>287</v>
      </c>
      <c r="N19" s="69"/>
      <c r="O19" s="69"/>
      <c r="P19" s="70" t="s">
        <v>288</v>
      </c>
      <c r="Q19" s="70" t="s">
        <v>289</v>
      </c>
      <c r="R19" s="70" t="s">
        <v>290</v>
      </c>
      <c r="S19" s="70" t="s">
        <v>291</v>
      </c>
      <c r="T19" s="70" t="s">
        <v>289</v>
      </c>
      <c r="U19" s="70" t="s">
        <v>292</v>
      </c>
      <c r="V19" s="71" t="s">
        <v>293</v>
      </c>
      <c r="W19" s="92"/>
      <c r="X19" s="92" t="s">
        <v>294</v>
      </c>
      <c r="Y19" s="34"/>
      <c r="Z19" s="75"/>
      <c r="AA19" s="75" t="s">
        <v>168</v>
      </c>
    </row>
    <row r="20" spans="1:27" ht="15.05">
      <c r="A20" s="16">
        <f t="shared" si="0"/>
        <v>4</v>
      </c>
      <c r="B20" s="91">
        <f>B19+4</f>
        <v>42453</v>
      </c>
      <c r="C20" s="69" t="s">
        <v>297</v>
      </c>
      <c r="D20" s="70" t="s">
        <v>46</v>
      </c>
      <c r="E20" s="70" t="s">
        <v>40</v>
      </c>
      <c r="F20" s="71" t="s">
        <v>64</v>
      </c>
      <c r="G20" s="71" t="str">
        <f t="shared" si="5"/>
        <v>X</v>
      </c>
      <c r="H20" s="70"/>
      <c r="I20" s="70"/>
      <c r="J20" s="73"/>
      <c r="K20" s="74" t="str">
        <f>HYPERLINK("https://drive.google.com/drive/folders/0B4o9FS6Fg-3ebXB3b04tTzVEcTQ","Service Notes")</f>
        <v>Service Notes</v>
      </c>
      <c r="L20" s="69"/>
      <c r="M20" s="70" t="s">
        <v>298</v>
      </c>
      <c r="N20" s="69"/>
      <c r="O20" s="69"/>
      <c r="P20" s="69"/>
      <c r="Q20" s="70" t="s">
        <v>300</v>
      </c>
      <c r="R20" s="70" t="s">
        <v>301</v>
      </c>
      <c r="S20" s="70" t="s">
        <v>302</v>
      </c>
      <c r="T20" s="74" t="str">
        <f>HYPERLINK("https://www.biblegateway.com/passage/?search=Hebrews+10%3A15-25&amp;version=ESV","Hebrews 10:15-25")</f>
        <v>Hebrews 10:15-25</v>
      </c>
      <c r="U20" s="74" t="str">
        <f>HYPERLINK("https://www.biblegateway.com/passage/?search=Luke+22:7-20","Luke 22:7-20")</f>
        <v>Luke 22:7-20</v>
      </c>
      <c r="V20" s="71" t="s">
        <v>303</v>
      </c>
      <c r="W20" s="75"/>
      <c r="X20" s="75" t="s">
        <v>304</v>
      </c>
      <c r="Y20" s="34"/>
      <c r="Z20" s="75" t="s">
        <v>305</v>
      </c>
      <c r="AA20" s="75" t="s">
        <v>40</v>
      </c>
    </row>
    <row r="21" spans="1:27" ht="30.05">
      <c r="A21" s="16">
        <f t="shared" si="0"/>
        <v>4</v>
      </c>
      <c r="B21" s="95">
        <f>B20+1</f>
        <v>42454</v>
      </c>
      <c r="C21" s="64" t="s">
        <v>309</v>
      </c>
      <c r="D21" s="64" t="s">
        <v>43</v>
      </c>
      <c r="E21" s="64" t="s">
        <v>46</v>
      </c>
      <c r="F21" s="65" t="s">
        <v>44</v>
      </c>
      <c r="G21" s="65" t="str">
        <f t="shared" si="5"/>
        <v>X</v>
      </c>
      <c r="H21" s="65"/>
      <c r="I21" s="65"/>
      <c r="J21" s="96"/>
      <c r="K21" s="97" t="str">
        <f>HYPERLINK("https://drive.google.com/drive/u/0/folders/0B4o9FS6Fg-3ebXB3b04tTzVEcTQ","Service Notes")</f>
        <v>Service Notes</v>
      </c>
      <c r="L21" s="66"/>
      <c r="M21" s="64" t="s">
        <v>311</v>
      </c>
      <c r="N21" s="66"/>
      <c r="O21" s="66"/>
      <c r="P21" s="66"/>
      <c r="Q21" s="64" t="s">
        <v>312</v>
      </c>
      <c r="R21" s="64" t="s">
        <v>313</v>
      </c>
      <c r="S21" s="64" t="s">
        <v>314</v>
      </c>
      <c r="T21" s="64" t="s">
        <v>315</v>
      </c>
      <c r="U21" s="64" t="s">
        <v>312</v>
      </c>
      <c r="V21" s="65" t="s">
        <v>316</v>
      </c>
      <c r="W21" s="67"/>
      <c r="X21" s="67" t="s">
        <v>317</v>
      </c>
      <c r="Y21" s="34"/>
      <c r="Z21" s="98"/>
      <c r="AA21" s="67" t="s">
        <v>40</v>
      </c>
    </row>
    <row r="22" spans="1:27" ht="30.05">
      <c r="A22" s="16"/>
      <c r="B22" s="95">
        <f>B21</f>
        <v>42454</v>
      </c>
      <c r="C22" s="64" t="s">
        <v>320</v>
      </c>
      <c r="D22" s="64" t="s">
        <v>43</v>
      </c>
      <c r="E22" s="64" t="s">
        <v>43</v>
      </c>
      <c r="F22" s="65" t="s">
        <v>44</v>
      </c>
      <c r="G22" s="99"/>
      <c r="H22" s="67"/>
      <c r="I22" s="67"/>
      <c r="J22" s="67"/>
      <c r="K22" s="97" t="str">
        <f>HYPERLINK("https://drive.google.com/drive/folders/0B4o9FS6Fg-3ebXB3b04tTzVEcTQ","Service Notes")</f>
        <v>Service Notes</v>
      </c>
      <c r="L22" s="66"/>
      <c r="M22" s="64" t="s">
        <v>321</v>
      </c>
      <c r="N22" s="66"/>
      <c r="O22" s="66"/>
      <c r="P22" s="66"/>
      <c r="Q22" s="64" t="s">
        <v>312</v>
      </c>
      <c r="R22" s="64" t="s">
        <v>313</v>
      </c>
      <c r="S22" s="64"/>
      <c r="T22" s="64"/>
      <c r="U22" s="64"/>
      <c r="V22" s="65"/>
      <c r="W22" s="67"/>
      <c r="X22" s="67" t="s">
        <v>323</v>
      </c>
      <c r="Y22" s="34"/>
      <c r="Z22" s="67" t="s">
        <v>324</v>
      </c>
      <c r="AA22" s="67"/>
    </row>
    <row r="23" spans="1:27" ht="45.1">
      <c r="A23" s="16">
        <f t="shared" ref="A23:A25" si="6">WEEKNUM(B23,2)-WEEKNUM(DATE(YEAR(B23),MONTH(B23),1),2)+1</f>
        <v>4</v>
      </c>
      <c r="B23" s="17">
        <f>B21+2</f>
        <v>42456</v>
      </c>
      <c r="C23" s="25" t="s">
        <v>326</v>
      </c>
      <c r="D23" s="20" t="s">
        <v>40</v>
      </c>
      <c r="E23" s="20" t="s">
        <v>40</v>
      </c>
      <c r="F23" s="22" t="s">
        <v>44</v>
      </c>
      <c r="G23" s="23"/>
      <c r="H23" s="33" t="s">
        <v>327</v>
      </c>
      <c r="I23" s="33" t="s">
        <v>327</v>
      </c>
      <c r="J23" s="33"/>
      <c r="K23" s="28" t="str">
        <f>HYPERLINK("https://drive.google.com/drive/folders/0B4o9FS6Fg-3eSFZMb1hDNmtjMkk","Service Notes")</f>
        <v>Service Notes</v>
      </c>
      <c r="L23" s="25"/>
      <c r="M23" s="20" t="s">
        <v>328</v>
      </c>
      <c r="N23" s="25"/>
      <c r="O23" s="25"/>
      <c r="P23" s="25"/>
      <c r="Q23" s="20" t="s">
        <v>329</v>
      </c>
      <c r="R23" s="20" t="s">
        <v>330</v>
      </c>
      <c r="S23" s="31" t="str">
        <f>HYPERLINK("https://www.biblegateway.com/passage/?search=Isaiah 12:1-6", "Isaiah 12:1-6")</f>
        <v>Isaiah 12:1-6</v>
      </c>
      <c r="T23" s="31" t="str">
        <f>HYPERLINK("https://www.biblegateway.com/passage/?search=1 Cor. 15:51-57", "1 Cor. 15:51-57")</f>
        <v>1 Cor. 15:51-57</v>
      </c>
      <c r="U23" s="31" t="str">
        <f>HYPERLINK("https://www.biblegateway.com/passage/?search=John 20:1-18", "John 20:1-18")</f>
        <v>John 20:1-18</v>
      </c>
      <c r="V23" s="22"/>
      <c r="W23" s="33"/>
      <c r="X23" s="33" t="s">
        <v>333</v>
      </c>
      <c r="Y23" s="34"/>
      <c r="Z23" s="33"/>
      <c r="AA23" s="33" t="s">
        <v>40</v>
      </c>
    </row>
    <row r="24" spans="1:27" ht="30.05">
      <c r="A24" s="16">
        <f t="shared" si="6"/>
        <v>4</v>
      </c>
      <c r="B24" s="37">
        <f>B21+2</f>
        <v>42456</v>
      </c>
      <c r="C24" s="25" t="s">
        <v>334</v>
      </c>
      <c r="D24" s="20" t="s">
        <v>46</v>
      </c>
      <c r="E24" s="20" t="s">
        <v>43</v>
      </c>
      <c r="F24" s="22" t="s">
        <v>64</v>
      </c>
      <c r="G24" s="22" t="s">
        <v>335</v>
      </c>
      <c r="H24" s="33" t="s">
        <v>327</v>
      </c>
      <c r="I24" s="33" t="s">
        <v>327</v>
      </c>
      <c r="J24" s="33"/>
      <c r="K24" s="28" t="str">
        <f>HYPERLINK("https://drive.google.com/drive/u/0/folders/0B4o9FS6Fg-3ebXB3b04tTzVEcTQ","Service Notes")</f>
        <v>Service Notes</v>
      </c>
      <c r="L24" s="25"/>
      <c r="M24" s="20" t="s">
        <v>337</v>
      </c>
      <c r="N24" s="25"/>
      <c r="O24" s="25"/>
      <c r="P24" s="20" t="s">
        <v>338</v>
      </c>
      <c r="Q24" s="20" t="s">
        <v>339</v>
      </c>
      <c r="R24" s="20" t="s">
        <v>340</v>
      </c>
      <c r="S24" s="31" t="str">
        <f>HYPERLINK("https://www.biblegateway.com/passage/?search=Exodus 15:1-11", "Exodus 15:1-11")</f>
        <v>Exodus 15:1-11</v>
      </c>
      <c r="T24" s="31" t="str">
        <f>HYPERLINK("https://www.biblegateway.com/passage/?search=1 Cor. 15:1-11", "1 Cor. 15:1-11")</f>
        <v>1 Cor. 15:1-11</v>
      </c>
      <c r="U24" s="31" t="str">
        <f>HYPERLINK("https://www.biblegateway.com/passage/?search=Luke 24:1-12", "Luke 24:1-12")</f>
        <v>Luke 24:1-12</v>
      </c>
      <c r="V24" s="22" t="s">
        <v>293</v>
      </c>
      <c r="W24" s="33"/>
      <c r="X24" s="33" t="s">
        <v>341</v>
      </c>
      <c r="Y24" s="34"/>
      <c r="Z24" s="33" t="s">
        <v>152</v>
      </c>
      <c r="AA24" s="33" t="s">
        <v>40</v>
      </c>
    </row>
    <row r="25" spans="1:27" ht="15.05">
      <c r="A25" s="16">
        <f t="shared" si="6"/>
        <v>1</v>
      </c>
      <c r="B25" s="37">
        <f>B24+7</f>
        <v>42463</v>
      </c>
      <c r="C25" s="25" t="s">
        <v>343</v>
      </c>
      <c r="D25" s="20" t="s">
        <v>63</v>
      </c>
      <c r="E25" s="20" t="s">
        <v>40</v>
      </c>
      <c r="F25" s="22" t="s">
        <v>64</v>
      </c>
      <c r="G25" s="23" t="str">
        <f t="shared" ref="G25:G57" si="7">IF(OR(A25=2,A25=4,A25=5),"X","")</f>
        <v/>
      </c>
      <c r="H25" s="20" t="s">
        <v>46</v>
      </c>
      <c r="I25" s="20" t="s">
        <v>43</v>
      </c>
      <c r="J25" s="33"/>
      <c r="K25" s="102" t="str">
        <f>HYPERLINK("https://drive.google.com/drive/folders/0B4o9FS6Fg-3ebXB3b04tTzVEcTQ","Service Notes")</f>
        <v>Service Notes</v>
      </c>
      <c r="L25" s="25"/>
      <c r="M25" s="20" t="s">
        <v>348</v>
      </c>
      <c r="N25" s="25"/>
      <c r="O25" s="25"/>
      <c r="P25" s="25"/>
      <c r="Q25" s="20" t="s">
        <v>349</v>
      </c>
      <c r="R25" s="20" t="s">
        <v>350</v>
      </c>
      <c r="S25" s="28" t="str">
        <f>HYPERLINK("https://www.biblegateway.com/passage/?search=Acts%205:12-32","Acts 5:12,17-32")</f>
        <v>Acts 5:12,17-32</v>
      </c>
      <c r="T25" s="28" t="str">
        <f>HYPERLINK("https://www.biblegateway.com/passage/?search=Revelation+1%3A4-18","Revelation 1:4-18")</f>
        <v>Revelation 1:4-18</v>
      </c>
      <c r="U25" s="28" t="str">
        <f>HYPERLINK("https://www.biblegateway.com/passage/?search=John+20:19-31","John 20:19-31")</f>
        <v>John 20:19-31</v>
      </c>
      <c r="V25" s="22" t="s">
        <v>355</v>
      </c>
      <c r="W25" s="104"/>
      <c r="X25" s="104" t="s">
        <v>356</v>
      </c>
      <c r="Y25" s="34"/>
      <c r="Z25" s="33"/>
      <c r="AA25" s="33" t="s">
        <v>357</v>
      </c>
    </row>
    <row r="26" spans="1:27" ht="15.05">
      <c r="A26" s="105" t="s">
        <v>59</v>
      </c>
      <c r="B26" s="37">
        <f t="shared" ref="B26:B30" si="8">B25+7</f>
        <v>42470</v>
      </c>
      <c r="C26" s="25" t="s">
        <v>359</v>
      </c>
      <c r="D26" s="20" t="s">
        <v>46</v>
      </c>
      <c r="E26" s="20" t="s">
        <v>43</v>
      </c>
      <c r="F26" s="22" t="s">
        <v>360</v>
      </c>
      <c r="G26" s="23" t="str">
        <f t="shared" si="7"/>
        <v/>
      </c>
      <c r="H26" s="20" t="s">
        <v>361</v>
      </c>
      <c r="I26" s="20" t="s">
        <v>43</v>
      </c>
      <c r="J26" s="33"/>
      <c r="K26" s="28" t="str">
        <f>HYPERLINK("https://drive.google.com/drive/u/0/folders/0B4o9FS6Fg-3eMS1ZX29nbXEwZjA","Service Notes")</f>
        <v>Service Notes</v>
      </c>
      <c r="L26" s="25"/>
      <c r="M26" s="20" t="s">
        <v>348</v>
      </c>
      <c r="N26" s="25"/>
      <c r="O26" s="25"/>
      <c r="P26" s="25"/>
      <c r="Q26" s="20" t="s">
        <v>363</v>
      </c>
      <c r="R26" s="20" t="s">
        <v>364</v>
      </c>
      <c r="S26" s="28" t="str">
        <f>HYPERLINK("https://www.biblegateway.com/passage/?search=Acts%209%3A1-19","Acts 9:1-19a")</f>
        <v>Acts 9:1-19a</v>
      </c>
      <c r="T26" s="28" t="str">
        <f>HYPERLINK("https://www.biblegateway.com/passage/?search=Revelation%205:11-14","Revelation 5:11-14")</f>
        <v>Revelation 5:11-14</v>
      </c>
      <c r="U26" s="28" t="str">
        <f>HYPERLINK("https://www.biblegateway.com/passage/?search=John+21:1-14","John 21:1-14")</f>
        <v>John 21:1-14</v>
      </c>
      <c r="V26" s="22" t="s">
        <v>365</v>
      </c>
      <c r="W26" s="104"/>
      <c r="X26" s="104" t="s">
        <v>366</v>
      </c>
      <c r="Y26" s="34"/>
      <c r="Z26" s="33" t="s">
        <v>368</v>
      </c>
      <c r="AA26" s="33" t="s">
        <v>357</v>
      </c>
    </row>
    <row r="27" spans="1:27" ht="15.05">
      <c r="A27" s="16">
        <f t="shared" ref="A27:A32" si="9">WEEKNUM(B27,2)-WEEKNUM(DATE(YEAR(B27),MONTH(B27),1),2)+1</f>
        <v>3</v>
      </c>
      <c r="B27" s="37">
        <f t="shared" si="8"/>
        <v>42477</v>
      </c>
      <c r="C27" s="25" t="s">
        <v>369</v>
      </c>
      <c r="D27" s="20" t="s">
        <v>40</v>
      </c>
      <c r="E27" s="20" t="s">
        <v>40</v>
      </c>
      <c r="F27" s="22" t="s">
        <v>44</v>
      </c>
      <c r="G27" s="23" t="str">
        <f t="shared" si="7"/>
        <v/>
      </c>
      <c r="H27" s="20" t="s">
        <v>46</v>
      </c>
      <c r="I27" s="20" t="s">
        <v>43</v>
      </c>
      <c r="J27" s="26"/>
      <c r="K27" s="28" t="str">
        <f>HYPERLINK("https://docs.google.com/document/d/1t_4mmxPrLjyjslwHqDbK0KRwRcphfqb-GtmlVB1UUVw/edit","Service Notes")</f>
        <v>Service Notes</v>
      </c>
      <c r="L27" s="25"/>
      <c r="M27" s="20" t="s">
        <v>348</v>
      </c>
      <c r="N27" s="25"/>
      <c r="O27" s="25"/>
      <c r="P27" s="25"/>
      <c r="Q27" s="31" t="str">
        <f>HYPERLINK("https://www.biblegateway.com/passage/?search=John 10:22-30", "John 10:22-30")</f>
        <v>John 10:22-30</v>
      </c>
      <c r="R27" s="20" t="s">
        <v>372</v>
      </c>
      <c r="S27" s="28" t="str">
        <f>HYPERLINK("https://www.biblegateway.com/passage/?search=John+10%3A22-30%2CActs+13%3A15-16%2CActs+13%3A26-33&amp;version=NIV","Acts 13:15,16a,26-33")</f>
        <v>Acts 13:15,16a,26-33</v>
      </c>
      <c r="T27" s="28" t="str">
        <f>HYPERLINK("https://www.biblegateway.com/passage/?search=Revelation+7:9-17","Revelation 7:9-17")</f>
        <v>Revelation 7:9-17</v>
      </c>
      <c r="U27" s="28" t="str">
        <f>HYPERLINK("https://www.biblegateway.com/passage/?search=John%2010:22-30","John 10:22-30")</f>
        <v>John 10:22-30</v>
      </c>
      <c r="V27" s="22" t="s">
        <v>377</v>
      </c>
      <c r="W27" s="104"/>
      <c r="X27" s="104" t="s">
        <v>378</v>
      </c>
      <c r="Y27" s="34"/>
      <c r="Z27" s="33" t="s">
        <v>380</v>
      </c>
      <c r="AA27" s="33" t="s">
        <v>357</v>
      </c>
    </row>
    <row r="28" spans="1:27" ht="15.05">
      <c r="A28" s="16">
        <f t="shared" si="9"/>
        <v>4</v>
      </c>
      <c r="B28" s="37">
        <f t="shared" si="8"/>
        <v>42484</v>
      </c>
      <c r="C28" s="20" t="s">
        <v>382</v>
      </c>
      <c r="D28" s="20" t="s">
        <v>46</v>
      </c>
      <c r="E28" s="20" t="s">
        <v>43</v>
      </c>
      <c r="F28" s="22" t="s">
        <v>64</v>
      </c>
      <c r="G28" s="23" t="str">
        <f t="shared" si="7"/>
        <v>X</v>
      </c>
      <c r="H28" s="20" t="s">
        <v>361</v>
      </c>
      <c r="I28" s="20" t="s">
        <v>43</v>
      </c>
      <c r="J28" s="33"/>
      <c r="K28" s="28" t="str">
        <f>HYPERLINK("https://drive.google.com/drive/u/0/folders/0B4o9FS6Fg-3ebXB3b04tTzVEcTQ","Service Notes")</f>
        <v>Service Notes</v>
      </c>
      <c r="L28" s="25"/>
      <c r="M28" s="20" t="s">
        <v>383</v>
      </c>
      <c r="N28" s="25"/>
      <c r="O28" s="25"/>
      <c r="P28" s="25"/>
      <c r="Q28" s="20" t="s">
        <v>387</v>
      </c>
      <c r="R28" s="20" t="s">
        <v>388</v>
      </c>
      <c r="S28" s="28" t="str">
        <f>HYPERLINK("https://www.biblegateway.com/passage/?search=Acts%2013:44-52","Acts 13:44-52")</f>
        <v>Acts 13:44-52</v>
      </c>
      <c r="T28" s="28" t="str">
        <f>HYPERLINK("https://www.biblegateway.com/passage/?search=Revelation%2021:1-6","Revelation 21:1-6")</f>
        <v>Revelation 21:1-6</v>
      </c>
      <c r="U28" s="28" t="str">
        <f>HYPERLINK("https://www.biblegateway.com/passage/?search=John%2013:31-35","John 13:31-35")</f>
        <v>John 13:31-35</v>
      </c>
      <c r="V28" s="22" t="s">
        <v>390</v>
      </c>
      <c r="W28" s="107"/>
      <c r="X28" s="107" t="s">
        <v>392</v>
      </c>
      <c r="Y28" s="34"/>
      <c r="Z28" s="5" t="s">
        <v>118</v>
      </c>
      <c r="AA28" s="33" t="s">
        <v>357</v>
      </c>
    </row>
    <row r="29" spans="1:27" ht="15.85" customHeight="1">
      <c r="A29" s="16">
        <f t="shared" si="9"/>
        <v>1</v>
      </c>
      <c r="B29" s="37">
        <f t="shared" si="8"/>
        <v>42491</v>
      </c>
      <c r="C29" s="25" t="s">
        <v>394</v>
      </c>
      <c r="D29" s="20" t="s">
        <v>40</v>
      </c>
      <c r="E29" s="20" t="s">
        <v>40</v>
      </c>
      <c r="F29" s="22" t="s">
        <v>90</v>
      </c>
      <c r="G29" s="23" t="str">
        <f t="shared" si="7"/>
        <v/>
      </c>
      <c r="H29" s="20" t="s">
        <v>46</v>
      </c>
      <c r="I29" s="20" t="s">
        <v>43</v>
      </c>
      <c r="J29" s="33"/>
      <c r="K29" s="28" t="str">
        <f>HYPERLINK("https://drive.google.com/drive/folders/0B4o9FS6Fg-3eUnhVU3NMMENqWG8","Service Notes")</f>
        <v>Service Notes</v>
      </c>
      <c r="L29" s="25"/>
      <c r="M29" s="20" t="s">
        <v>70</v>
      </c>
      <c r="N29" s="25"/>
      <c r="O29" s="20"/>
      <c r="P29" s="25"/>
      <c r="Q29" s="31" t="str">
        <f>HYPERLINK("https://www.biblegateway.com/passage/?search=John 14:23-29", "John 14:23-29")</f>
        <v>John 14:23-29</v>
      </c>
      <c r="R29" s="108" t="s">
        <v>397</v>
      </c>
      <c r="S29" s="28" t="str">
        <f>HYPERLINK("https://www.biblegateway.com/passage/?search=Acts+14:8-18","Acts 14:8-18")</f>
        <v>Acts 14:8-18</v>
      </c>
      <c r="T29" s="28" t="str">
        <f>HYPERLINK("https://www.biblegateway.com/passage/?search=Revelation+21%3A10-14%2CRevelation+21%3A22-23&amp;version=NIV","Rev 21:10-14,22,23")</f>
        <v>Rev 21:10-14,22,23</v>
      </c>
      <c r="U29" s="28" t="str">
        <f>HYPERLINK("https://www.biblegateway.com/passage/?search=John%2014:23-29","John 14:23-29")</f>
        <v>John 14:23-29</v>
      </c>
      <c r="V29" s="22" t="s">
        <v>399</v>
      </c>
      <c r="W29" s="33"/>
      <c r="X29" s="33" t="s">
        <v>401</v>
      </c>
      <c r="Y29" s="34"/>
      <c r="Z29" s="33"/>
      <c r="AA29" s="33" t="s">
        <v>402</v>
      </c>
    </row>
    <row r="30" spans="1:27" ht="26.3">
      <c r="A30" s="16">
        <f t="shared" si="9"/>
        <v>2</v>
      </c>
      <c r="B30" s="37">
        <f t="shared" si="8"/>
        <v>42498</v>
      </c>
      <c r="C30" s="25" t="s">
        <v>403</v>
      </c>
      <c r="D30" s="20" t="s">
        <v>46</v>
      </c>
      <c r="E30" s="20" t="s">
        <v>43</v>
      </c>
      <c r="F30" s="22" t="s">
        <v>64</v>
      </c>
      <c r="G30" s="23" t="str">
        <f t="shared" si="7"/>
        <v>X</v>
      </c>
      <c r="H30" s="20" t="s">
        <v>361</v>
      </c>
      <c r="I30" s="20" t="s">
        <v>43</v>
      </c>
      <c r="J30" s="33"/>
      <c r="K30" s="28" t="str">
        <f>HYPERLINK("https://drive.google.com/drive/folders/0B4o9FS6Fg-3ebXB3b04tTzVEcTQ","Service Notes")</f>
        <v>Service Notes</v>
      </c>
      <c r="L30" s="25"/>
      <c r="M30" s="20" t="s">
        <v>81</v>
      </c>
      <c r="N30" s="25"/>
      <c r="O30" s="25"/>
      <c r="P30" s="25"/>
      <c r="Q30" s="20" t="s">
        <v>404</v>
      </c>
      <c r="R30" s="20" t="s">
        <v>405</v>
      </c>
      <c r="S30" s="28" t="str">
        <f>HYPERLINK("https://www.biblegateway.com/passage/?search=Acts+16%3A6-10","Acts 16:6-10")</f>
        <v>Acts 16:6-10</v>
      </c>
      <c r="T30" s="28" t="str">
        <f>HYPERLINK("https://www.biblegateway.com/passage/?search=Revelation+22%3A12-17%2CRevelation+22%3A20&amp;version=NIV","Rev 22:12-17,20")</f>
        <v>Rev 22:12-17,20</v>
      </c>
      <c r="U30" s="28" t="str">
        <f>HYPERLINK("https://www.biblegateway.com/passage/?search=John%2017:20-26","John 17:20-26")</f>
        <v>John 17:20-26</v>
      </c>
      <c r="V30" s="22" t="s">
        <v>409</v>
      </c>
      <c r="W30" s="111"/>
      <c r="X30" s="111" t="s">
        <v>412</v>
      </c>
      <c r="Y30" s="34"/>
      <c r="Z30" s="33" t="s">
        <v>231</v>
      </c>
      <c r="AA30" s="33" t="s">
        <v>402</v>
      </c>
    </row>
    <row r="31" spans="1:27" ht="15.05">
      <c r="A31" s="16">
        <f t="shared" si="9"/>
        <v>3</v>
      </c>
      <c r="B31" s="112">
        <f t="shared" ref="B31:B32" si="10">B30+7</f>
        <v>42505</v>
      </c>
      <c r="C31" s="113" t="s">
        <v>418</v>
      </c>
      <c r="D31" s="114" t="s">
        <v>63</v>
      </c>
      <c r="E31" s="114" t="s">
        <v>43</v>
      </c>
      <c r="F31" s="115" t="s">
        <v>419</v>
      </c>
      <c r="G31" s="115" t="str">
        <f t="shared" si="7"/>
        <v/>
      </c>
      <c r="H31" s="116" t="s">
        <v>46</v>
      </c>
      <c r="I31" s="116" t="s">
        <v>43</v>
      </c>
      <c r="J31" s="117"/>
      <c r="K31" s="119" t="str">
        <f>HYPERLINK("https://drive.google.com/drive/u/0/folders/0B4o9FS6Fg-3ebXB3b04tTzVEcTQ","Service Notes")</f>
        <v>Service Notes</v>
      </c>
      <c r="L31" s="113"/>
      <c r="M31" s="114" t="s">
        <v>91</v>
      </c>
      <c r="N31" s="113"/>
      <c r="O31" s="113"/>
      <c r="P31" s="113"/>
      <c r="Q31" s="114" t="s">
        <v>427</v>
      </c>
      <c r="R31" s="114" t="s">
        <v>428</v>
      </c>
      <c r="S31" s="119" t="str">
        <f>HYPERLINK("https://www.biblegateway.com/passage/?search=Genesis%2011:1-9","Genesis 11:1-9")</f>
        <v>Genesis 11:1-9</v>
      </c>
      <c r="T31" s="119" t="str">
        <f>HYPERLINK("https://www.biblegateway.com/passage/?search=Acts%202:1-21","Acts 2:1-21")</f>
        <v>Acts 2:1-21</v>
      </c>
      <c r="U31" s="119" t="str">
        <f>HYPERLINK("https://www.biblegateway.com/passage/?search=John%2015:26-27","John 15:26,27")</f>
        <v>John 15:26,27</v>
      </c>
      <c r="V31" s="115" t="s">
        <v>433</v>
      </c>
      <c r="W31" s="116"/>
      <c r="X31" s="116" t="s">
        <v>434</v>
      </c>
      <c r="Y31" s="34"/>
      <c r="Z31" s="116" t="s">
        <v>435</v>
      </c>
      <c r="AA31" s="33" t="s">
        <v>402</v>
      </c>
    </row>
    <row r="32" spans="1:27" ht="15.05">
      <c r="A32" s="16">
        <f t="shared" si="9"/>
        <v>4</v>
      </c>
      <c r="B32" s="37">
        <f t="shared" si="10"/>
        <v>42512</v>
      </c>
      <c r="C32" s="25" t="s">
        <v>439</v>
      </c>
      <c r="D32" s="20" t="s">
        <v>43</v>
      </c>
      <c r="E32" s="20" t="s">
        <v>46</v>
      </c>
      <c r="F32" s="22" t="s">
        <v>90</v>
      </c>
      <c r="G32" s="23" t="str">
        <f t="shared" si="7"/>
        <v>X</v>
      </c>
      <c r="H32" s="27" t="s">
        <v>440</v>
      </c>
      <c r="I32" s="27" t="s">
        <v>441</v>
      </c>
      <c r="J32" s="26"/>
      <c r="K32" s="28" t="str">
        <f>HYPERLINK("https://drive.google.com/drive/folders/0B4o9FS6Fg-3edjlpY01tblZQREU","Service Notes")</f>
        <v>Service Notes</v>
      </c>
      <c r="L32" s="25"/>
      <c r="M32" s="20" t="s">
        <v>443</v>
      </c>
      <c r="N32" s="25"/>
      <c r="O32" s="25"/>
      <c r="P32" s="25"/>
      <c r="Q32" s="20" t="s">
        <v>444</v>
      </c>
      <c r="R32" s="131" t="s">
        <v>445</v>
      </c>
      <c r="S32" s="28" t="str">
        <f>HYPERLINK("https://www.biblegateway.com/passage/?search=Numbers%206:22-27","Numbers 6:22-27")</f>
        <v>Numbers 6:22-27</v>
      </c>
      <c r="T32" s="28" t="str">
        <f>HYPERLINK("https://www.biblegateway.com/passage/?search=Romans+5:1-5","Romans 5:1-5")</f>
        <v>Romans 5:1-5</v>
      </c>
      <c r="U32" s="28" t="str">
        <f>HYPERLINK("https://www.biblegateway.com/passage/?search=John+16:12-15","John 16:12-15")</f>
        <v>John 16:12-15</v>
      </c>
      <c r="V32" s="22" t="s">
        <v>449</v>
      </c>
      <c r="W32" s="33"/>
      <c r="X32" s="33" t="s">
        <v>450</v>
      </c>
      <c r="Y32" s="34"/>
      <c r="Z32" s="33" t="s">
        <v>451</v>
      </c>
      <c r="AA32" s="33" t="s">
        <v>402</v>
      </c>
    </row>
    <row r="33" spans="1:27" ht="15.05">
      <c r="A33" s="16"/>
      <c r="B33" s="7" t="s">
        <v>452</v>
      </c>
      <c r="C33" s="4" t="s">
        <v>453</v>
      </c>
      <c r="D33" s="4" t="s">
        <v>5</v>
      </c>
      <c r="E33" s="4" t="s">
        <v>6</v>
      </c>
      <c r="F33" s="8"/>
      <c r="G33" s="8" t="str">
        <f t="shared" si="7"/>
        <v/>
      </c>
      <c r="H33" s="4" t="s">
        <v>13</v>
      </c>
      <c r="I33" s="4" t="s">
        <v>12</v>
      </c>
      <c r="J33" s="9"/>
      <c r="K33" s="7"/>
      <c r="L33" s="7" t="s">
        <v>16</v>
      </c>
      <c r="M33" s="7" t="s">
        <v>17</v>
      </c>
      <c r="N33" s="7" t="s">
        <v>18</v>
      </c>
      <c r="O33" s="7" t="s">
        <v>19</v>
      </c>
      <c r="P33" s="7" t="s">
        <v>20</v>
      </c>
      <c r="Q33" s="7" t="s">
        <v>22</v>
      </c>
      <c r="R33" s="7" t="s">
        <v>23</v>
      </c>
      <c r="S33" s="7" t="s">
        <v>24</v>
      </c>
      <c r="T33" s="7" t="s">
        <v>25</v>
      </c>
      <c r="U33" s="7" t="s">
        <v>26</v>
      </c>
      <c r="V33" s="8" t="s">
        <v>30</v>
      </c>
      <c r="W33" s="11"/>
      <c r="X33" s="11" t="s">
        <v>456</v>
      </c>
      <c r="Y33" s="11"/>
      <c r="Z33" s="11" t="s">
        <v>34</v>
      </c>
      <c r="AA33" s="11"/>
    </row>
    <row r="34" spans="1:27" ht="30.05">
      <c r="A34" s="16">
        <f t="shared" ref="A34:A48" si="11">WEEKNUM(B34,2)-WEEKNUM(DATE(YEAR(B34),MONTH(B34),1),2)+1</f>
        <v>5</v>
      </c>
      <c r="B34" s="41">
        <f>B32+7</f>
        <v>42519</v>
      </c>
      <c r="C34" s="43" t="s">
        <v>460</v>
      </c>
      <c r="D34" s="43" t="s">
        <v>46</v>
      </c>
      <c r="E34" s="43" t="s">
        <v>46</v>
      </c>
      <c r="F34" s="44" t="s">
        <v>64</v>
      </c>
      <c r="G34" s="44" t="str">
        <f t="shared" si="7"/>
        <v>X</v>
      </c>
      <c r="H34" s="27" t="s">
        <v>461</v>
      </c>
      <c r="I34" s="27" t="s">
        <v>461</v>
      </c>
      <c r="J34" s="47"/>
      <c r="K34" s="49" t="str">
        <f>HYPERLINK("https://docs.google.com/document/d/1lXikQ5srFC7ZDaejLGN5_CMUVqTMUzeYo8h59HD3ZKo/edit","Service Notes")</f>
        <v>Service Notes</v>
      </c>
      <c r="L34" s="51"/>
      <c r="M34" s="43" t="s">
        <v>464</v>
      </c>
      <c r="N34" s="51"/>
      <c r="O34" s="51"/>
      <c r="P34" s="51"/>
      <c r="Q34" s="52" t="str">
        <f>HYPERLINK("https://www.biblegateway.com/passage/?search=Galatians 1:1-10", "Galatians 1:1-10")</f>
        <v>Galatians 1:1-10</v>
      </c>
      <c r="R34" s="43" t="s">
        <v>468</v>
      </c>
      <c r="S34" s="49" t="str">
        <f>HYPERLINK("https://www.biblegateway.com/passage/?search=1+Kings+8%3A22-23%2C1+Kings+8%3A41-43&amp;version=NIV","1 Ki 8:22,23,41-43")</f>
        <v>1 Ki 8:22,23,41-43</v>
      </c>
      <c r="T34" s="49" t="str">
        <f>HYPERLINK("https://www.biblegateway.com/passage/?search=Galatians%201:1-10","Galatians 1:1-10")</f>
        <v>Galatians 1:1-10</v>
      </c>
      <c r="U34" s="49" t="str">
        <f>HYPERLINK("https://www.biblegateway.com/passage/?search=Luke%207%3A1-10","Luke 7:1-10")</f>
        <v>Luke 7:1-10</v>
      </c>
      <c r="V34" s="44">
        <v>100</v>
      </c>
      <c r="W34" s="47"/>
      <c r="X34" s="47" t="s">
        <v>471</v>
      </c>
      <c r="Y34" s="34"/>
      <c r="Z34" s="53"/>
      <c r="AA34" s="47" t="s">
        <v>402</v>
      </c>
    </row>
    <row r="35" spans="1:27" ht="15.05">
      <c r="A35" s="16">
        <f t="shared" si="11"/>
        <v>1</v>
      </c>
      <c r="B35" s="41">
        <f t="shared" ref="B35:B46" si="12">B34+7</f>
        <v>42526</v>
      </c>
      <c r="C35" s="43" t="s">
        <v>474</v>
      </c>
      <c r="D35" s="43" t="s">
        <v>43</v>
      </c>
      <c r="E35" s="43" t="s">
        <v>43</v>
      </c>
      <c r="F35" s="44" t="s">
        <v>90</v>
      </c>
      <c r="G35" s="44" t="str">
        <f t="shared" si="7"/>
        <v/>
      </c>
      <c r="H35" s="51"/>
      <c r="I35" s="43" t="s">
        <v>40</v>
      </c>
      <c r="J35" s="47"/>
      <c r="K35" s="49" t="str">
        <f>HYPERLINK("https://drive.google.com/drive/folders/0B4o9FS6Fg-3ebXB3b04tTzVEcTQ","Service Notes")</f>
        <v>Service Notes</v>
      </c>
      <c r="L35" s="51"/>
      <c r="M35" s="43" t="s">
        <v>477</v>
      </c>
      <c r="N35" s="43" t="s">
        <v>478</v>
      </c>
      <c r="O35" s="51"/>
      <c r="P35" s="51"/>
      <c r="Q35" s="52" t="str">
        <f>HYPERLINK("https://www.biblegateway.com/passage/?search=Revelation 2:1-7", "Revelation 2:1-7")</f>
        <v>Revelation 2:1-7</v>
      </c>
      <c r="R35" s="43" t="s">
        <v>480</v>
      </c>
      <c r="S35" s="49" t="str">
        <f>HYPERLINK("https://www.biblegateway.com/passage/?search=1+Kings+17:17-24","1 Kings 17:17-24")</f>
        <v>1 Kings 17:17-24</v>
      </c>
      <c r="T35" s="52" t="str">
        <f>HYPERLINK("https://www.biblegateway.com/passage/?search=Galatians 1:11-24", "Galatians 1:11-24")</f>
        <v>Galatians 1:11-24</v>
      </c>
      <c r="U35" s="52" t="str">
        <f>HYPERLINK("https://www.biblegateway.com/passage/?search=Luke 7:11-17", "Luke 7:11-17")</f>
        <v>Luke 7:11-17</v>
      </c>
      <c r="V35" s="44" t="s">
        <v>483</v>
      </c>
      <c r="W35" s="47"/>
      <c r="X35" s="47" t="s">
        <v>484</v>
      </c>
      <c r="Y35" s="34"/>
      <c r="Z35" s="53"/>
      <c r="AA35" s="47" t="s">
        <v>336</v>
      </c>
    </row>
    <row r="36" spans="1:27" ht="30.05">
      <c r="A36" s="16">
        <f t="shared" si="11"/>
        <v>2</v>
      </c>
      <c r="B36" s="41">
        <f t="shared" si="12"/>
        <v>42533</v>
      </c>
      <c r="C36" s="43" t="s">
        <v>487</v>
      </c>
      <c r="D36" s="43" t="s">
        <v>46</v>
      </c>
      <c r="E36" s="43" t="s">
        <v>40</v>
      </c>
      <c r="F36" s="44" t="s">
        <v>488</v>
      </c>
      <c r="G36" s="44" t="str">
        <f t="shared" si="7"/>
        <v>X</v>
      </c>
      <c r="H36" s="43" t="s">
        <v>46</v>
      </c>
      <c r="I36" s="43" t="s">
        <v>40</v>
      </c>
      <c r="J36" s="47"/>
      <c r="K36" s="49" t="str">
        <f>HYPERLINK("https://docs.google.com/document/d/1YKVjV-yioPrqsPfwJXgnWlBT2Q0RyONZ1P_Lh4Q7s4w/edit","Service Notes")</f>
        <v>Service Notes</v>
      </c>
      <c r="L36" s="51"/>
      <c r="M36" s="43" t="s">
        <v>83</v>
      </c>
      <c r="N36" s="43" t="s">
        <v>491</v>
      </c>
      <c r="O36" s="51"/>
      <c r="P36" s="51"/>
      <c r="Q36" s="52" t="str">
        <f>HYPERLINK("https://www.biblegateway.com/passage/?search=Revelation 2:8-11", "Revelation 2:8-11")</f>
        <v>Revelation 2:8-11</v>
      </c>
      <c r="R36" s="60" t="s">
        <v>493</v>
      </c>
      <c r="S36" s="49" t="str">
        <f>HYPERLINK("https://www.biblegateway.com/passage/?search=2+Samuel+11%3A26-12%3A31&amp;version=NIV","2 Sa 11:26-12:10,13-15")</f>
        <v>2 Sa 11:26-12:10,13-15</v>
      </c>
      <c r="T36" s="52" t="str">
        <f>HYPERLINK("https://www.biblegateway.com/passage/?search=Galatians 2:11-21", "Galatians 2:11-21")</f>
        <v>Galatians 2:11-21</v>
      </c>
      <c r="U36" s="52" t="str">
        <f>HYPERLINK("https://www.biblegateway.com/passage/?search=Luke 7:36-50", "Luke 7:36-50")</f>
        <v>Luke 7:36-50</v>
      </c>
      <c r="V36" s="44" t="s">
        <v>496</v>
      </c>
      <c r="W36" s="47"/>
      <c r="X36" s="47" t="s">
        <v>497</v>
      </c>
      <c r="Y36" s="34"/>
      <c r="Z36" s="47"/>
      <c r="AA36" s="47" t="s">
        <v>336</v>
      </c>
    </row>
    <row r="37" spans="1:27" ht="15.05">
      <c r="A37" s="16">
        <f t="shared" si="11"/>
        <v>3</v>
      </c>
      <c r="B37" s="41">
        <f t="shared" si="12"/>
        <v>42540</v>
      </c>
      <c r="C37" s="43" t="s">
        <v>499</v>
      </c>
      <c r="D37" s="43" t="s">
        <v>43</v>
      </c>
      <c r="E37" s="43" t="s">
        <v>43</v>
      </c>
      <c r="F37" s="44" t="s">
        <v>44</v>
      </c>
      <c r="G37" s="44" t="str">
        <f t="shared" si="7"/>
        <v/>
      </c>
      <c r="H37" s="43" t="s">
        <v>46</v>
      </c>
      <c r="I37" s="43" t="s">
        <v>40</v>
      </c>
      <c r="J37" s="47"/>
      <c r="K37" s="49" t="str">
        <f>HYPERLINK("https://docs.google.com/document/d/1lsJcEMZFOzSKp1o2alJF7R0Rb6Mn0GYjjg8V2IE1VRM/edit#","Service Notes")</f>
        <v>Service Notes</v>
      </c>
      <c r="L37" s="51"/>
      <c r="M37" s="43" t="s">
        <v>91</v>
      </c>
      <c r="N37" s="43" t="s">
        <v>500</v>
      </c>
      <c r="O37" s="51"/>
      <c r="P37" s="51"/>
      <c r="Q37" s="52" t="str">
        <f>HYPERLINK("https://www.biblegateway.com/passage/?search=Revelation 2:12-17", "Revelation 2:12-17")</f>
        <v>Revelation 2:12-17</v>
      </c>
      <c r="R37" s="60" t="s">
        <v>501</v>
      </c>
      <c r="S37" s="49" t="str">
        <f>HYPERLINK("https://www.biblegateway.com/passage/?search=Zechariah%2013:7-9","Zechariah 13:7-9")</f>
        <v>Zechariah 13:7-9</v>
      </c>
      <c r="T37" s="52" t="str">
        <f>HYPERLINK("https://www.biblegateway.com/passage/?search=Galatians 3:23-29", "Galatians 3:23-29")</f>
        <v>Galatians 3:23-29</v>
      </c>
      <c r="U37" s="52" t="str">
        <f>HYPERLINK("https://www.biblegateway.com/passage/?search=Luke 9:18-24", "Luke 9:18-24")</f>
        <v>Luke 9:18-24</v>
      </c>
      <c r="V37" s="44" t="s">
        <v>507</v>
      </c>
      <c r="W37" s="47"/>
      <c r="X37" s="47" t="s">
        <v>508</v>
      </c>
      <c r="Y37" s="34"/>
      <c r="Z37" s="47"/>
      <c r="AA37" s="47" t="s">
        <v>336</v>
      </c>
    </row>
    <row r="38" spans="1:27" ht="15.05">
      <c r="A38" s="16">
        <f t="shared" si="11"/>
        <v>4</v>
      </c>
      <c r="B38" s="41">
        <f t="shared" si="12"/>
        <v>42547</v>
      </c>
      <c r="C38" s="43" t="s">
        <v>510</v>
      </c>
      <c r="D38" s="43" t="s">
        <v>63</v>
      </c>
      <c r="E38" s="43" t="s">
        <v>46</v>
      </c>
      <c r="F38" s="44" t="s">
        <v>511</v>
      </c>
      <c r="G38" s="45" t="str">
        <f t="shared" si="7"/>
        <v>X</v>
      </c>
      <c r="H38" s="43" t="s">
        <v>46</v>
      </c>
      <c r="I38" s="43" t="s">
        <v>40</v>
      </c>
      <c r="J38" s="47"/>
      <c r="K38" s="49" t="str">
        <f>HYPERLINK("https://docs.google.com/document/d/1Kd8fNSMqJrRoWW0ix-KQHp70_S38Q-Jmfvs5-8EjsEI/edit","Service Notes")</f>
        <v>Service Notes</v>
      </c>
      <c r="L38" s="43" t="s">
        <v>512</v>
      </c>
      <c r="M38" s="43" t="s">
        <v>105</v>
      </c>
      <c r="N38" s="43" t="s">
        <v>513</v>
      </c>
      <c r="O38" s="51"/>
      <c r="P38" s="51"/>
      <c r="Q38" s="52" t="str">
        <f>HYPERLINK("https://www.biblegateway.com/passage/?search=", "")</f>
        <v/>
      </c>
      <c r="R38" s="60" t="s">
        <v>515</v>
      </c>
      <c r="S38" s="49" t="str">
        <f>HYPERLINK("https://www.biblegateway.com/passage/?search=1%20Kings%2019:14-21","1 Kings 19:14-21")</f>
        <v>1 Kings 19:14-21</v>
      </c>
      <c r="T38" s="52" t="str">
        <f>HYPERLINK("https://www.biblegateway.com/passage/?search=Galatians 5:1,13-25", "Galatians 5:1,13-25")</f>
        <v>Galatians 5:1,13-25</v>
      </c>
      <c r="U38" s="52" t="str">
        <f>HYPERLINK("https://www.biblegateway.com/passage/?search=Luke 9:51-62", "Luke 9:51-62")</f>
        <v>Luke 9:51-62</v>
      </c>
      <c r="V38" s="44">
        <v>62</v>
      </c>
      <c r="W38" s="47"/>
      <c r="X38" s="47" t="s">
        <v>517</v>
      </c>
      <c r="Y38" s="34"/>
      <c r="Z38" s="47" t="s">
        <v>518</v>
      </c>
      <c r="AA38" s="47" t="s">
        <v>336</v>
      </c>
    </row>
    <row r="39" spans="1:27" ht="15.05">
      <c r="A39" s="16">
        <f t="shared" si="11"/>
        <v>1</v>
      </c>
      <c r="B39" s="41">
        <f t="shared" si="12"/>
        <v>42554</v>
      </c>
      <c r="C39" s="43" t="s">
        <v>520</v>
      </c>
      <c r="D39" s="43" t="s">
        <v>40</v>
      </c>
      <c r="E39" s="43" t="s">
        <v>40</v>
      </c>
      <c r="F39" s="44" t="s">
        <v>521</v>
      </c>
      <c r="G39" s="44" t="str">
        <f t="shared" si="7"/>
        <v/>
      </c>
      <c r="H39" s="43" t="s">
        <v>46</v>
      </c>
      <c r="I39" s="43" t="s">
        <v>40</v>
      </c>
      <c r="J39" s="47"/>
      <c r="K39" s="49" t="str">
        <f>HYPERLINK("https://drive.google.com/drive/u/0/folders/0B4o9FS6Fg-3ebXB3b04tTzVEcTQ","Service Notes")</f>
        <v>Service Notes</v>
      </c>
      <c r="L39" s="51"/>
      <c r="M39" s="43" t="s">
        <v>522</v>
      </c>
      <c r="N39" s="43" t="s">
        <v>523</v>
      </c>
      <c r="O39" s="51"/>
      <c r="P39" s="51"/>
      <c r="Q39" s="49" t="str">
        <f>HYPERLINK("https://www.biblegateway.com/passage/?search=Revelation 3:1-6", "Revelation 3:1-6")</f>
        <v>Revelation 3:1-6</v>
      </c>
      <c r="R39" s="43" t="s">
        <v>524</v>
      </c>
      <c r="S39" s="49" t="str">
        <f>HYPERLINK("https://www.biblegateway.com/passage/?search=Isaiah%2066:10-14","Isaiah 66:10-14")</f>
        <v>Isaiah 66:10-14</v>
      </c>
      <c r="T39" s="49" t="str">
        <f>HYPERLINK("https://www.biblegateway.com/passage/?search=Gal 6:1-10,14-16", "Gal 6:1-10,14-16")</f>
        <v>Gal 6:1-10,14-16</v>
      </c>
      <c r="U39" s="49" t="str">
        <f>HYPERLINK("https://www.biblegateway.com/passage/?search=Luke 10:1-12,16-20", "Luke 10:1-12,16-20")</f>
        <v>Luke 10:1-12,16-20</v>
      </c>
      <c r="V39" s="44" t="s">
        <v>528</v>
      </c>
      <c r="W39" s="47"/>
      <c r="X39" s="47" t="s">
        <v>529</v>
      </c>
      <c r="Y39" s="34"/>
      <c r="Z39" s="47" t="s">
        <v>530</v>
      </c>
      <c r="AA39" s="47" t="s">
        <v>60</v>
      </c>
    </row>
    <row r="40" spans="1:27" ht="15.05">
      <c r="A40" s="16">
        <f t="shared" si="11"/>
        <v>2</v>
      </c>
      <c r="B40" s="41">
        <f t="shared" si="12"/>
        <v>42561</v>
      </c>
      <c r="C40" s="43" t="s">
        <v>532</v>
      </c>
      <c r="D40" s="43" t="s">
        <v>46</v>
      </c>
      <c r="E40" s="43" t="s">
        <v>46</v>
      </c>
      <c r="F40" s="44" t="s">
        <v>534</v>
      </c>
      <c r="G40" s="44" t="str">
        <f t="shared" si="7"/>
        <v>X</v>
      </c>
      <c r="H40" s="43" t="s">
        <v>46</v>
      </c>
      <c r="I40" s="43" t="s">
        <v>43</v>
      </c>
      <c r="J40" s="47"/>
      <c r="K40" s="49" t="str">
        <f>HYPERLINK("https://drive.google.com/drive/folders/0B4o9FS6Fg-3ebHljM1BoeU9XWEk","Service Notes")</f>
        <v>Service Notes</v>
      </c>
      <c r="L40" s="51"/>
      <c r="M40" s="43" t="s">
        <v>83</v>
      </c>
      <c r="N40" s="43" t="s">
        <v>535</v>
      </c>
      <c r="O40" s="51"/>
      <c r="P40" s="51"/>
      <c r="Q40" s="49" t="str">
        <f>HYPERLINK("https://www.biblegateway.com/passage/?search=Revelation 3:7-13", "Revelation 3:7-13")</f>
        <v>Revelation 3:7-13</v>
      </c>
      <c r="R40" s="43" t="s">
        <v>537</v>
      </c>
      <c r="S40" s="49" t="str">
        <f>HYPERLINK("https://www.biblegateway.com/passage/?search=Deuteronomy%2030:9-14","Dt  30:9-14")</f>
        <v>Dt  30:9-14</v>
      </c>
      <c r="T40" s="49" t="str">
        <f>HYPERLINK("https://www.biblegateway.com/passage/?search=Colossians 1:1-14", "Colossians 1:1-14")</f>
        <v>Colossians 1:1-14</v>
      </c>
      <c r="U40" s="49" t="str">
        <f>HYPERLINK("https://www.biblegateway.com/passage/?search=Luke 10:25-37", "Luke 10:25-37")</f>
        <v>Luke 10:25-37</v>
      </c>
      <c r="V40" s="44" t="s">
        <v>539</v>
      </c>
      <c r="W40" s="47"/>
      <c r="X40" s="47" t="s">
        <v>540</v>
      </c>
      <c r="Y40" s="34"/>
      <c r="Z40" s="53"/>
      <c r="AA40" s="47" t="s">
        <v>402</v>
      </c>
    </row>
    <row r="41" spans="1:27" ht="15.05">
      <c r="A41" s="16">
        <f t="shared" si="11"/>
        <v>3</v>
      </c>
      <c r="B41" s="41">
        <f t="shared" si="12"/>
        <v>42568</v>
      </c>
      <c r="C41" s="43" t="s">
        <v>543</v>
      </c>
      <c r="D41" s="43" t="s">
        <v>46</v>
      </c>
      <c r="E41" s="43" t="s">
        <v>46</v>
      </c>
      <c r="F41" s="44" t="s">
        <v>44</v>
      </c>
      <c r="G41" s="44" t="str">
        <f t="shared" si="7"/>
        <v/>
      </c>
      <c r="H41" s="43" t="s">
        <v>46</v>
      </c>
      <c r="I41" s="43" t="s">
        <v>40</v>
      </c>
      <c r="J41" s="47"/>
      <c r="K41" s="49" t="str">
        <f>HYPERLINK("https://drive.google.com/drive/u/0/folders/0B4o9FS6Fg-3ebXB3b04tTzVEcTQ","Service Notes")</f>
        <v>Service Notes</v>
      </c>
      <c r="L41" s="43" t="s">
        <v>547</v>
      </c>
      <c r="M41" s="43" t="s">
        <v>91</v>
      </c>
      <c r="N41" s="43" t="s">
        <v>548</v>
      </c>
      <c r="O41" s="51"/>
      <c r="P41" s="43" t="s">
        <v>550</v>
      </c>
      <c r="Q41" s="49" t="str">
        <f>HYPERLINK("https://www.biblegateway.com/passage/?search=Revelation 3:14-22", "Revelation 3:14-22")</f>
        <v>Revelation 3:14-22</v>
      </c>
      <c r="R41" s="43" t="s">
        <v>553</v>
      </c>
      <c r="S41" s="49" t="str">
        <f>HYPERLINK("https://www.biblegateway.com/passage/?search=Genesis+18%3A1-14","Genesis 18:1-14")</f>
        <v>Genesis 18:1-14</v>
      </c>
      <c r="T41" s="49" t="str">
        <f>HYPERLINK("https://www.biblegateway.com/passage/?search=Colossians%201:21-29","Colossians 1:21-29")</f>
        <v>Colossians 1:21-29</v>
      </c>
      <c r="U41" s="49" t="str">
        <f>HYPERLINK("https://www.biblegateway.com/passage/?search=Luke 10:38-42", "Luke 10:38-42")</f>
        <v>Luke 10:38-42</v>
      </c>
      <c r="V41" s="44" t="s">
        <v>560</v>
      </c>
      <c r="W41" s="47"/>
      <c r="X41" s="47" t="s">
        <v>561</v>
      </c>
      <c r="Y41" s="34"/>
      <c r="Z41" s="47"/>
      <c r="AA41" s="47" t="s">
        <v>60</v>
      </c>
    </row>
    <row r="42" spans="1:27" ht="15.05">
      <c r="A42" s="16">
        <f t="shared" si="11"/>
        <v>4</v>
      </c>
      <c r="B42" s="41">
        <f t="shared" si="12"/>
        <v>42575</v>
      </c>
      <c r="C42" s="43" t="s">
        <v>563</v>
      </c>
      <c r="D42" s="43" t="s">
        <v>40</v>
      </c>
      <c r="E42" s="43" t="s">
        <v>46</v>
      </c>
      <c r="F42" s="44" t="s">
        <v>44</v>
      </c>
      <c r="G42" s="44" t="str">
        <f t="shared" si="7"/>
        <v>X</v>
      </c>
      <c r="H42" s="43" t="s">
        <v>40</v>
      </c>
      <c r="I42" s="43" t="s">
        <v>46</v>
      </c>
      <c r="J42" s="154"/>
      <c r="K42" s="49" t="str">
        <f>HYPERLINK("https://drive.google.com/drive/u/0/folders/0B4o9FS6Fg-3eYUZLRjJPdFNFTW8","Service Notes")</f>
        <v>Service Notes</v>
      </c>
      <c r="L42" s="51"/>
      <c r="M42" s="156" t="s">
        <v>105</v>
      </c>
      <c r="N42" s="51"/>
      <c r="O42" s="51"/>
      <c r="P42" s="43" t="s">
        <v>176</v>
      </c>
      <c r="Q42" s="49" t="str">
        <f>HYPERLINK("https://www.biblegateway.com/passage/?search=Luke 11:1-13", "Luke 11:1-13")</f>
        <v>Luke 11:1-13</v>
      </c>
      <c r="R42" s="43" t="s">
        <v>571</v>
      </c>
      <c r="S42" s="49" t="str">
        <f>HYPERLINK("https://www.biblegateway.com/passage/?search=Genesis%2018:20-32","Genesis 18:20-32")</f>
        <v>Genesis 18:20-32</v>
      </c>
      <c r="T42" s="49" t="str">
        <f>HYPERLINK("https://www.biblegateway.com/passage/?search=Colossians%202:6-15","Colossians 2:6-15")</f>
        <v>Colossians 2:6-15</v>
      </c>
      <c r="U42" s="49" t="str">
        <f>HYPERLINK("https://www.biblegateway.com/passage/?search=Luke%2011:1-13","Luke 11:1-13")</f>
        <v>Luke 11:1-13</v>
      </c>
      <c r="V42" s="44">
        <v>6</v>
      </c>
      <c r="W42" s="47"/>
      <c r="X42" s="47" t="s">
        <v>580</v>
      </c>
      <c r="Y42" s="39"/>
      <c r="Z42" s="47"/>
      <c r="AA42" s="47" t="s">
        <v>60</v>
      </c>
    </row>
    <row r="43" spans="1:27" ht="15.05">
      <c r="A43" s="16">
        <f t="shared" si="11"/>
        <v>5</v>
      </c>
      <c r="B43" s="41">
        <f t="shared" si="12"/>
        <v>42582</v>
      </c>
      <c r="C43" s="43" t="s">
        <v>581</v>
      </c>
      <c r="D43" s="43" t="s">
        <v>43</v>
      </c>
      <c r="E43" s="43" t="s">
        <v>43</v>
      </c>
      <c r="F43" s="44" t="s">
        <v>582</v>
      </c>
      <c r="G43" s="44" t="str">
        <f t="shared" si="7"/>
        <v>X</v>
      </c>
      <c r="H43" s="162" t="s">
        <v>43</v>
      </c>
      <c r="I43" s="43" t="s">
        <v>46</v>
      </c>
      <c r="J43" s="47"/>
      <c r="K43" s="49" t="str">
        <f>HYPERLINK("https://drive.google.com/drive/u/0/folders/0B4o9FS6Fg-3eaFV4dGM5UVdjZlk","Service Notes")</f>
        <v>Service Notes</v>
      </c>
      <c r="L43" s="59"/>
      <c r="M43" s="43" t="s">
        <v>126</v>
      </c>
      <c r="N43" s="51"/>
      <c r="O43" s="51"/>
      <c r="P43" s="43" t="s">
        <v>591</v>
      </c>
      <c r="Q43" s="49" t="str">
        <f>HYPERLINK("https://www.biblegateway.com/passage/?search=Colossians 3:1-11", "Colossians 3:1-11")</f>
        <v>Colossians 3:1-11</v>
      </c>
      <c r="R43" s="43" t="s">
        <v>594</v>
      </c>
      <c r="S43" s="49" t="str">
        <f>HYPERLINK("https://www.biblegateway.com/passage/?search=Ecclesiastes+2:18-26","Ecc 1:2;2:18-26")</f>
        <v>Ecc 1:2;2:18-26</v>
      </c>
      <c r="T43" s="49" t="str">
        <f>HYPERLINK("https://www.biblegateway.com/passage/?search=Colossians%203:1-11","Colossians 3:1-11")</f>
        <v>Colossians 3:1-11</v>
      </c>
      <c r="U43" s="49" t="str">
        <f>HYPERLINK("https://www.biblegateway.com/passage/?search=Luke%2012:13-21","Luke 12:13-21")</f>
        <v>Luke 12:13-21</v>
      </c>
      <c r="V43" s="44" t="s">
        <v>133</v>
      </c>
      <c r="W43" s="47"/>
      <c r="X43" s="47" t="s">
        <v>598</v>
      </c>
      <c r="Y43" s="34"/>
      <c r="Z43" s="47"/>
      <c r="AA43" s="47" t="s">
        <v>60</v>
      </c>
    </row>
    <row r="44" spans="1:27" ht="15.05">
      <c r="A44" s="16">
        <f t="shared" si="11"/>
        <v>1</v>
      </c>
      <c r="B44" s="41">
        <f t="shared" si="12"/>
        <v>42589</v>
      </c>
      <c r="C44" s="43" t="s">
        <v>601</v>
      </c>
      <c r="D44" s="43" t="s">
        <v>46</v>
      </c>
      <c r="E44" s="43" t="s">
        <v>46</v>
      </c>
      <c r="F44" s="44" t="s">
        <v>602</v>
      </c>
      <c r="G44" s="44" t="str">
        <f t="shared" si="7"/>
        <v/>
      </c>
      <c r="H44" s="162" t="s">
        <v>43</v>
      </c>
      <c r="I44" s="43" t="s">
        <v>46</v>
      </c>
      <c r="J44" s="47"/>
      <c r="K44" s="49" t="str">
        <f>HYPERLINK("https://drive.google.com/drive/u/0/folders/0B4o9FS6Fg-3eYnZLWWVKZ0tHNTg","Service Notes")</f>
        <v>Service Notes</v>
      </c>
      <c r="L44" s="51"/>
      <c r="M44" s="43" t="s">
        <v>52</v>
      </c>
      <c r="N44" s="51"/>
      <c r="O44" s="51"/>
      <c r="P44" s="43" t="s">
        <v>605</v>
      </c>
      <c r="Q44" s="49" t="str">
        <f>HYPERLINK("https://www.biblegateway.com/passage/?search=Genesis 15:1-6", "Genesis 15:1-6")</f>
        <v>Genesis 15:1-6</v>
      </c>
      <c r="R44" s="43" t="s">
        <v>607</v>
      </c>
      <c r="S44" s="49" t="str">
        <f>HYPERLINK("https://www.biblegateway.com/passage/?search=Genesis+15:1-6","Genesis 15:1-6")</f>
        <v>Genesis 15:1-6</v>
      </c>
      <c r="T44" s="49" t="str">
        <f>HYPERLINK("https://www.biblegateway.com/passage/?search=Hebrews+11%3A1-3%2CHebrews+11%3A8-16&amp;version=NIV","Heb 11:1-3,8-16")</f>
        <v>Heb 11:1-3,8-16</v>
      </c>
      <c r="U44" s="49" t="str">
        <f>HYPERLINK("https://www.biblegateway.com/passage/?search=Luke%2012:32-40","Luke 12:32-40")</f>
        <v>Luke 12:32-40</v>
      </c>
      <c r="V44" s="54" t="str">
        <f>HYPERLINK("https://www.biblegateway.com/passage/?search=Psalm 33*", "33*")</f>
        <v>33*</v>
      </c>
      <c r="W44" s="47"/>
      <c r="X44" s="47" t="s">
        <v>609</v>
      </c>
      <c r="Y44" s="34"/>
      <c r="Z44" s="47" t="s">
        <v>168</v>
      </c>
      <c r="AA44" s="47" t="s">
        <v>357</v>
      </c>
    </row>
    <row r="45" spans="1:27" ht="15.05">
      <c r="A45" s="16">
        <f t="shared" si="11"/>
        <v>2</v>
      </c>
      <c r="B45" s="41">
        <f t="shared" si="12"/>
        <v>42596</v>
      </c>
      <c r="C45" s="43" t="s">
        <v>613</v>
      </c>
      <c r="D45" s="43" t="s">
        <v>63</v>
      </c>
      <c r="E45" s="43" t="s">
        <v>43</v>
      </c>
      <c r="F45" s="44" t="s">
        <v>614</v>
      </c>
      <c r="G45" s="44" t="str">
        <f t="shared" si="7"/>
        <v>X</v>
      </c>
      <c r="H45" s="162" t="s">
        <v>43</v>
      </c>
      <c r="I45" s="43" t="s">
        <v>46</v>
      </c>
      <c r="J45" s="47"/>
      <c r="K45" s="49" t="str">
        <f>HYPERLINK("https://drive.google.com/drive/u/0/folders/0B4o9FS6Fg-3eNVZhZ3FGZ2hRdzg","Service Notes")</f>
        <v>Service Notes</v>
      </c>
      <c r="L45" s="51"/>
      <c r="M45" s="43" t="s">
        <v>83</v>
      </c>
      <c r="N45" s="51"/>
      <c r="O45" s="51"/>
      <c r="P45" s="43" t="s">
        <v>617</v>
      </c>
      <c r="Q45" s="52" t="str">
        <f>HYPERLINK("https://www.biblegateway.com/passage/?search=Hebrews 12:1-13", "Hebrews 12:1-13")</f>
        <v>Hebrews 12:1-13</v>
      </c>
      <c r="R45" s="43" t="s">
        <v>618</v>
      </c>
      <c r="S45" s="49" t="str">
        <f>HYPERLINK("https://www.biblegateway.com/passage/?search=Jeremiah%2023:23-29","Jeremiah 23:23-29")</f>
        <v>Jeremiah 23:23-29</v>
      </c>
      <c r="T45" s="49" t="str">
        <f>HYPERLINK("https://www.biblegateway.com/passage/?search=Hebrews+12%3A1-13","Hebrews 12:1-13")</f>
        <v>Hebrews 12:1-13</v>
      </c>
      <c r="U45" s="49" t="str">
        <f>HYPERLINK("https://www.biblegateway.com/passage/?search=Luke+12:49-53","Luke 12:49-53")</f>
        <v>Luke 12:49-53</v>
      </c>
      <c r="V45" s="44" t="s">
        <v>623</v>
      </c>
      <c r="W45" s="47"/>
      <c r="X45" s="47" t="s">
        <v>624</v>
      </c>
      <c r="Y45" s="34"/>
      <c r="Z45" s="47" t="s">
        <v>625</v>
      </c>
      <c r="AA45" s="47" t="s">
        <v>357</v>
      </c>
    </row>
    <row r="46" spans="1:27" ht="15.05">
      <c r="A46" s="16">
        <f t="shared" si="11"/>
        <v>3</v>
      </c>
      <c r="B46" s="41">
        <f t="shared" si="12"/>
        <v>42603</v>
      </c>
      <c r="C46" s="43" t="s">
        <v>630</v>
      </c>
      <c r="D46" s="43" t="s">
        <v>43</v>
      </c>
      <c r="E46" s="43" t="s">
        <v>46</v>
      </c>
      <c r="F46" s="44" t="s">
        <v>44</v>
      </c>
      <c r="G46" s="44" t="str">
        <f t="shared" si="7"/>
        <v/>
      </c>
      <c r="H46" s="162" t="s">
        <v>46</v>
      </c>
      <c r="I46" s="43" t="s">
        <v>43</v>
      </c>
      <c r="J46" s="47"/>
      <c r="K46" s="49" t="str">
        <f>HYPERLINK("https://drive.google.com/drive/folders/0B4o9FS6Fg-3eaHlEVEsxSUpwVjA","Service Notes")</f>
        <v>Service Notes</v>
      </c>
      <c r="L46" s="51"/>
      <c r="M46" s="43" t="s">
        <v>91</v>
      </c>
      <c r="N46" s="51"/>
      <c r="O46" s="51"/>
      <c r="P46" s="43" t="s">
        <v>633</v>
      </c>
      <c r="Q46" s="52" t="str">
        <f>HYPERLINK("https://www.biblegateway.com/passage/?search=Luke 13:22-30", "Luke 13:22-30")</f>
        <v>Luke 13:22-30</v>
      </c>
      <c r="R46" s="43" t="s">
        <v>637</v>
      </c>
      <c r="S46" s="49" t="str">
        <f>HYPERLINK("https://www.biblegateway.com/passage/?search=Isaiah+66:18-24","Isaiah 66:18-24")</f>
        <v>Isaiah 66:18-24</v>
      </c>
      <c r="T46" s="49" t="str">
        <f>HYPERLINK("https://www.biblegateway.com/passage/?search=Hebrews+12:18-24","Hebrews 12:18-24")</f>
        <v>Hebrews 12:18-24</v>
      </c>
      <c r="U46" s="49" t="str">
        <f>HYPERLINK("https://www.biblegateway.com/passage/?search=Luke%2013:22-30","Luke 13:22-30")</f>
        <v>Luke 13:22-30</v>
      </c>
      <c r="V46" s="44">
        <v>72</v>
      </c>
      <c r="W46" s="47"/>
      <c r="X46" s="47" t="s">
        <v>641</v>
      </c>
      <c r="Y46" s="34"/>
      <c r="Z46" s="53"/>
      <c r="AA46" s="47" t="s">
        <v>357</v>
      </c>
    </row>
    <row r="47" spans="1:27" ht="15.05">
      <c r="A47" s="16">
        <f t="shared" si="11"/>
        <v>4</v>
      </c>
      <c r="B47" s="41">
        <f>B46+7</f>
        <v>42610</v>
      </c>
      <c r="C47" s="43" t="s">
        <v>647</v>
      </c>
      <c r="D47" s="43" t="s">
        <v>43</v>
      </c>
      <c r="E47" s="43" t="s">
        <v>46</v>
      </c>
      <c r="F47" s="44" t="s">
        <v>90</v>
      </c>
      <c r="G47" s="45" t="str">
        <f t="shared" si="7"/>
        <v>X</v>
      </c>
      <c r="H47" s="43" t="s">
        <v>46</v>
      </c>
      <c r="I47" s="43" t="s">
        <v>43</v>
      </c>
      <c r="J47" s="47"/>
      <c r="K47" s="49" t="str">
        <f>HYPERLINK("https://drive.google.com/drive/folders/0B4o9FS6Fg-3eQjdoM3FBMzNrbGM","Service Notes")</f>
        <v>Service Notes</v>
      </c>
      <c r="L47" s="51"/>
      <c r="M47" s="43" t="s">
        <v>105</v>
      </c>
      <c r="N47" s="51"/>
      <c r="O47" s="51"/>
      <c r="P47" s="43" t="s">
        <v>654</v>
      </c>
      <c r="Q47" s="52" t="str">
        <f>HYPERLINK("https://www.biblegateway.com/passage/?search=Luke 14:1,7-14", "Luke 14:1,7-14")</f>
        <v>Luke 14:1,7-14</v>
      </c>
      <c r="R47" s="43" t="s">
        <v>655</v>
      </c>
      <c r="S47" s="49" t="str">
        <f>HYPERLINK("https://www.biblegateway.com/passage/?search=Proverbs+25:6-7","Proverbs 25:6,7")</f>
        <v>Proverbs 25:6,7</v>
      </c>
      <c r="T47" s="49" t="str">
        <f>HYPERLINK("https://www.biblegateway.com/passage/?search=Hebrews%2013:1-8","Hebrews 13:1-8")</f>
        <v>Hebrews 13:1-8</v>
      </c>
      <c r="U47" s="49" t="str">
        <f>HYPERLINK("https://www.biblegateway.com/passage/?search=Luke%2014:1-14","Luke 14:1,7-14")</f>
        <v>Luke 14:1,7-14</v>
      </c>
      <c r="V47" s="44" t="s">
        <v>661</v>
      </c>
      <c r="W47" s="47"/>
      <c r="X47" s="47" t="s">
        <v>662</v>
      </c>
      <c r="Y47" s="39"/>
      <c r="Z47" s="47"/>
      <c r="AA47" s="47" t="s">
        <v>357</v>
      </c>
    </row>
    <row r="48" spans="1:27" ht="15.05">
      <c r="A48" s="16">
        <f t="shared" si="11"/>
        <v>1</v>
      </c>
      <c r="B48" s="41">
        <f>B47+7</f>
        <v>42617</v>
      </c>
      <c r="C48" s="43" t="s">
        <v>665</v>
      </c>
      <c r="D48" s="43" t="s">
        <v>63</v>
      </c>
      <c r="E48" s="43" t="s">
        <v>43</v>
      </c>
      <c r="F48" s="44" t="s">
        <v>64</v>
      </c>
      <c r="G48" s="44" t="str">
        <f t="shared" si="7"/>
        <v/>
      </c>
      <c r="H48" s="43" t="s">
        <v>46</v>
      </c>
      <c r="I48" s="43" t="s">
        <v>43</v>
      </c>
      <c r="J48" s="47"/>
      <c r="K48" s="49" t="str">
        <f>HYPERLINK("https://docs.google.com/document/d/1rGBMpXkcdC4an4CWcXGhH3hYzKpZmUMGO0TPMFmfmM8/edit","Service Notes")</f>
        <v>Service Notes</v>
      </c>
      <c r="L48" s="51"/>
      <c r="M48" s="43" t="s">
        <v>70</v>
      </c>
      <c r="N48" s="166"/>
      <c r="O48" s="51"/>
      <c r="P48" s="43" t="s">
        <v>669</v>
      </c>
      <c r="Q48" s="52" t="str">
        <f>HYPERLINK("https://www.biblegateway.com/passage/?search=Proverbs 9:8-12", "Proverbs 9:8-12")</f>
        <v>Proverbs 9:8-12</v>
      </c>
      <c r="R48" s="43" t="s">
        <v>671</v>
      </c>
      <c r="S48" s="49" t="str">
        <f>HYPERLINK("https://www.biblegateway.com/passage/?search=Proverbs 9:8-12", "Proverbs 9:8-12")</f>
        <v>Proverbs 9:8-12</v>
      </c>
      <c r="T48" s="49" t="str">
        <f>HYPERLINK("https://www.biblegateway.com/passage/?search=Phm 1:1,10-21", "Phm 1:1,10-21")</f>
        <v>Phm 1:1,10-21</v>
      </c>
      <c r="U48" s="49" t="str">
        <f>HYPERLINK("https://www.biblegateway.com/passage/?search=Luke 14:25-33", "Luke 14:25-33")</f>
        <v>Luke 14:25-33</v>
      </c>
      <c r="V48" s="182" t="str">
        <f>HYPERLINK("https://www.biblegateway.com/passage/?search=Psalm 1*", "1*")</f>
        <v>1*</v>
      </c>
      <c r="W48" s="57"/>
      <c r="X48" s="57" t="s">
        <v>682</v>
      </c>
      <c r="Y48" s="39"/>
      <c r="Z48" s="47"/>
      <c r="AA48" s="47" t="s">
        <v>60</v>
      </c>
    </row>
    <row r="49" spans="1:27" ht="15.05">
      <c r="A49" s="183"/>
      <c r="B49" s="185" t="s">
        <v>684</v>
      </c>
      <c r="C49" s="187" t="s">
        <v>453</v>
      </c>
      <c r="D49" s="187" t="s">
        <v>5</v>
      </c>
      <c r="E49" s="187" t="s">
        <v>6</v>
      </c>
      <c r="F49" s="8"/>
      <c r="G49" s="8" t="str">
        <f t="shared" si="7"/>
        <v/>
      </c>
      <c r="H49" s="4" t="s">
        <v>13</v>
      </c>
      <c r="I49" s="4" t="s">
        <v>12</v>
      </c>
      <c r="J49" s="189"/>
      <c r="K49" s="7"/>
      <c r="L49" s="7" t="s">
        <v>16</v>
      </c>
      <c r="M49" s="7" t="s">
        <v>17</v>
      </c>
      <c r="N49" s="7" t="s">
        <v>18</v>
      </c>
      <c r="O49" s="7" t="s">
        <v>19</v>
      </c>
      <c r="P49" s="7" t="s">
        <v>20</v>
      </c>
      <c r="Q49" s="7" t="s">
        <v>22</v>
      </c>
      <c r="R49" s="7" t="s">
        <v>23</v>
      </c>
      <c r="S49" s="7" t="s">
        <v>24</v>
      </c>
      <c r="T49" s="7" t="s">
        <v>25</v>
      </c>
      <c r="U49" s="7" t="s">
        <v>26</v>
      </c>
      <c r="V49" s="8" t="s">
        <v>30</v>
      </c>
      <c r="W49" s="11"/>
      <c r="X49" s="11" t="s">
        <v>456</v>
      </c>
      <c r="Y49" s="11"/>
      <c r="Z49" s="11" t="s">
        <v>687</v>
      </c>
      <c r="AA49" s="11"/>
    </row>
    <row r="50" spans="1:27" ht="15.05">
      <c r="A50" s="16">
        <f t="shared" ref="A50:A57" si="13">WEEKNUM(B50,2)-WEEKNUM(DATE(YEAR(B50),MONTH(B50),1),2)+1</f>
        <v>2</v>
      </c>
      <c r="B50" s="41">
        <f>B48+7</f>
        <v>42624</v>
      </c>
      <c r="C50" s="43" t="s">
        <v>690</v>
      </c>
      <c r="D50" s="43" t="s">
        <v>46</v>
      </c>
      <c r="E50" s="43" t="s">
        <v>43</v>
      </c>
      <c r="F50" s="44" t="s">
        <v>691</v>
      </c>
      <c r="G50" s="45" t="str">
        <f t="shared" si="7"/>
        <v>X</v>
      </c>
      <c r="H50" s="43" t="s">
        <v>82</v>
      </c>
      <c r="I50" s="43" t="s">
        <v>43</v>
      </c>
      <c r="J50" s="47"/>
      <c r="K50" s="49" t="str">
        <f>HYPERLINK("https://drive.google.com/drive/folders/0B4o9FS6Fg-3eekVxVEdpZUV5c2s","Service Notes")</f>
        <v>Service Notes</v>
      </c>
      <c r="L50" s="51"/>
      <c r="M50" s="43" t="s">
        <v>83</v>
      </c>
      <c r="N50" s="51"/>
      <c r="O50" s="51"/>
      <c r="P50" s="43" t="s">
        <v>692</v>
      </c>
      <c r="Q50" s="60" t="str">
        <f>HYPERLINK("https://www.biblegateway.com/passage/?search=Luke 15:1-10", "Luke 15:1-10")</f>
        <v>Luke 15:1-10</v>
      </c>
      <c r="R50" s="43" t="s">
        <v>694</v>
      </c>
      <c r="S50" s="49" t="str">
        <f>HYPERLINK("https://www.biblegateway.com/passage/?search=Exodus 32:7-14", "Exodus 32:7-14")</f>
        <v>Exodus 32:7-14</v>
      </c>
      <c r="T50" s="49" t="str">
        <f>HYPERLINK("https://www.biblegateway.com/passage/?search=1 Timothy 1:12-17", "1 Timothy 1:12-17")</f>
        <v>1 Timothy 1:12-17</v>
      </c>
      <c r="U50" s="49" t="str">
        <f>HYPERLINK("https://www.biblegateway.com/passage/?search=Luke 15:1-10", "Luke 15:1-10")</f>
        <v>Luke 15:1-10</v>
      </c>
      <c r="V50" s="44" t="s">
        <v>599</v>
      </c>
      <c r="W50" s="57"/>
      <c r="X50" s="57" t="s">
        <v>701</v>
      </c>
      <c r="Y50" s="34"/>
      <c r="Z50" s="47" t="s">
        <v>702</v>
      </c>
      <c r="AA50" s="47" t="s">
        <v>60</v>
      </c>
    </row>
    <row r="51" spans="1:27" ht="15.05">
      <c r="A51" s="16">
        <f t="shared" si="13"/>
        <v>3</v>
      </c>
      <c r="B51" s="41">
        <f t="shared" ref="B51:B55" si="14">B50+7</f>
        <v>42631</v>
      </c>
      <c r="C51" s="43" t="s">
        <v>705</v>
      </c>
      <c r="D51" s="43" t="s">
        <v>63</v>
      </c>
      <c r="E51" s="43" t="s">
        <v>43</v>
      </c>
      <c r="F51" s="44" t="s">
        <v>558</v>
      </c>
      <c r="G51" s="44" t="str">
        <f t="shared" si="7"/>
        <v/>
      </c>
      <c r="H51" s="43" t="s">
        <v>46</v>
      </c>
      <c r="I51" s="43" t="s">
        <v>43</v>
      </c>
      <c r="J51" s="47"/>
      <c r="K51" s="49" t="str">
        <f>HYPERLINK("https://docs.google.com/document/d/1JtEw48UvkyBhDuV8lsJFzfrZLdpAI1wSn8FvBo7i14s/edit","Service Notes")</f>
        <v>Service Notes</v>
      </c>
      <c r="L51" s="51"/>
      <c r="M51" s="188" t="s">
        <v>91</v>
      </c>
      <c r="N51" s="184"/>
      <c r="O51" s="51"/>
      <c r="P51" s="43" t="s">
        <v>707</v>
      </c>
      <c r="Q51" s="52" t="str">
        <f>HYPERLINK("https://www.biblegateway.com/passage/?search=1 Timothy 2:1-8", "1 Timothy 2:1-8")</f>
        <v>1 Timothy 2:1-8</v>
      </c>
      <c r="R51" s="43" t="s">
        <v>709</v>
      </c>
      <c r="S51" s="49" t="str">
        <f>HYPERLINK("https://www.biblegateway.com/passage/?search=Amos 8:4-7", "Amos 8:4-7")</f>
        <v>Amos 8:4-7</v>
      </c>
      <c r="T51" s="49" t="str">
        <f>HYPERLINK("https://www.biblegateway.com/passage/?search=1 Timothy 2:1-8", "1 Timothy 2:1-8")</f>
        <v>1 Timothy 2:1-8</v>
      </c>
      <c r="U51" s="49" t="str">
        <f>HYPERLINK("https://www.biblegateway.com/passage/?search=Luke 16:1-13", "Luke 16:1-13")</f>
        <v>Luke 16:1-13</v>
      </c>
      <c r="V51" s="182" t="str">
        <f>HYPERLINK("https://www.biblegateway.com/passage/?search=Psalm None", "None")</f>
        <v>None</v>
      </c>
      <c r="W51" s="47"/>
      <c r="X51" s="47" t="s">
        <v>718</v>
      </c>
      <c r="Y51" s="34"/>
      <c r="Z51" s="47"/>
      <c r="AA51" s="47" t="s">
        <v>60</v>
      </c>
    </row>
    <row r="52" spans="1:27" ht="15.05">
      <c r="A52" s="16">
        <f t="shared" si="13"/>
        <v>4</v>
      </c>
      <c r="B52" s="41">
        <f t="shared" si="14"/>
        <v>42638</v>
      </c>
      <c r="C52" s="43" t="s">
        <v>719</v>
      </c>
      <c r="D52" s="43" t="s">
        <v>43</v>
      </c>
      <c r="E52" s="43" t="s">
        <v>46</v>
      </c>
      <c r="F52" s="44" t="s">
        <v>90</v>
      </c>
      <c r="G52" s="45" t="str">
        <f t="shared" si="7"/>
        <v>X</v>
      </c>
      <c r="H52" s="43" t="s">
        <v>82</v>
      </c>
      <c r="I52" s="43" t="s">
        <v>46</v>
      </c>
      <c r="J52" s="47"/>
      <c r="K52" s="49" t="str">
        <f>HYPERLINK("https://drive.google.com/drive/folders/0B4o9FS6Fg-3ebVlYRGFUOW0yRUE","Service Notes")</f>
        <v>Service Notes</v>
      </c>
      <c r="L52" s="51"/>
      <c r="M52" s="43" t="s">
        <v>105</v>
      </c>
      <c r="N52" s="51"/>
      <c r="O52" s="51"/>
      <c r="P52" s="43" t="s">
        <v>726</v>
      </c>
      <c r="Q52" s="52" t="str">
        <f>HYPERLINK("https://www.biblegateway.com/passage/?search=Luke 16:19-31", "Luke 16:19-31")</f>
        <v>Luke 16:19-31</v>
      </c>
      <c r="R52" s="43" t="s">
        <v>729</v>
      </c>
      <c r="S52" s="49" t="str">
        <f>HYPERLINK("https://www.biblegateway.com/passage/?search=Amos 6:1-7", "Amos 6:1-7")</f>
        <v>Amos 6:1-7</v>
      </c>
      <c r="T52" s="49" t="str">
        <f>HYPERLINK("https://www.biblegateway.com/passage/?search=1 Timothy 6:6-16", "1 Timothy 6:6-16")</f>
        <v>1 Timothy 6:6-16</v>
      </c>
      <c r="U52" s="49" t="str">
        <f>HYPERLINK("https://www.biblegateway.com/passage/?search=Luke 16:19-31", "Luke 16:19-31")</f>
        <v>Luke 16:19-31</v>
      </c>
      <c r="V52" s="54" t="str">
        <f>HYPERLINK("https://www.biblegateway.com/passage/?search=Psalm 49*", "49*")</f>
        <v>49*</v>
      </c>
      <c r="W52" s="47"/>
      <c r="X52" s="47" t="s">
        <v>737</v>
      </c>
      <c r="Y52" s="34"/>
      <c r="Z52" s="47" t="s">
        <v>165</v>
      </c>
      <c r="AA52" s="47" t="s">
        <v>60</v>
      </c>
    </row>
    <row r="53" spans="1:27" ht="15.05">
      <c r="A53" s="16">
        <f t="shared" si="13"/>
        <v>1</v>
      </c>
      <c r="B53" s="41">
        <f t="shared" si="14"/>
        <v>42645</v>
      </c>
      <c r="C53" s="43" t="s">
        <v>739</v>
      </c>
      <c r="D53" s="43" t="s">
        <v>40</v>
      </c>
      <c r="E53" s="43" t="s">
        <v>40</v>
      </c>
      <c r="F53" s="44" t="s">
        <v>64</v>
      </c>
      <c r="G53" s="44" t="str">
        <f t="shared" si="7"/>
        <v/>
      </c>
      <c r="H53" s="43" t="s">
        <v>82</v>
      </c>
      <c r="I53" s="43" t="s">
        <v>46</v>
      </c>
      <c r="J53" s="47"/>
      <c r="K53" s="49" t="str">
        <f>HYPERLINK("https://drive.google.com/drive/u/1/folders/0B4o9FS6Fg-3eQWhSME5MN0xUVDQ","Service Notes")</f>
        <v>Service Notes</v>
      </c>
      <c r="L53" s="51"/>
      <c r="M53" s="188" t="s">
        <v>741</v>
      </c>
      <c r="N53" s="184"/>
      <c r="O53" s="51"/>
      <c r="P53" s="43" t="s">
        <v>742</v>
      </c>
      <c r="Q53" s="60" t="str">
        <f>HYPERLINK("https://www.biblegateway.com/passage/?search=Luke 10:17-20", "Luke 10:17-20")</f>
        <v>Luke 10:17-20</v>
      </c>
      <c r="R53" s="43" t="s">
        <v>743</v>
      </c>
      <c r="S53" s="200" t="str">
        <f>HYPERLINK("https://www.biblegateway.com/passage/?search=Daniel 10:10-14, 12:1-3", "Daniel 10:10-14, 12:1-3")</f>
        <v>Daniel 10:10-14, 12:1-3</v>
      </c>
      <c r="T53" s="200" t="str">
        <f>HYPERLINK("https://www.biblegateway.com/passage/?search=Revelation 12:7-12", "Revelation 12:7-12")</f>
        <v>Revelation 12:7-12</v>
      </c>
      <c r="U53" s="200" t="str">
        <f>HYPERLINK("https://www.biblegateway.com/passage/?search=Luke 10:17-20", "Luke 10:17-20")</f>
        <v>Luke 10:17-20</v>
      </c>
      <c r="V53" s="182" t="str">
        <f>HYPERLINK("https://www.biblegateway.com/passage/?search=Psalm 91*", "91*")</f>
        <v>91*</v>
      </c>
      <c r="W53" s="47"/>
      <c r="X53" s="47" t="s">
        <v>749</v>
      </c>
      <c r="Y53" s="34"/>
      <c r="Z53" s="47" t="s">
        <v>152</v>
      </c>
      <c r="AA53" s="47" t="s">
        <v>60</v>
      </c>
    </row>
    <row r="54" spans="1:27" ht="26.3">
      <c r="A54" s="16">
        <f t="shared" si="13"/>
        <v>2</v>
      </c>
      <c r="B54" s="41">
        <f t="shared" si="14"/>
        <v>42652</v>
      </c>
      <c r="C54" s="43" t="s">
        <v>750</v>
      </c>
      <c r="D54" s="43" t="s">
        <v>43</v>
      </c>
      <c r="E54" s="43" t="s">
        <v>46</v>
      </c>
      <c r="F54" s="44" t="s">
        <v>593</v>
      </c>
      <c r="G54" s="44" t="str">
        <f t="shared" si="7"/>
        <v>X</v>
      </c>
      <c r="H54" s="43"/>
      <c r="I54" s="43" t="s">
        <v>46</v>
      </c>
      <c r="J54" s="47"/>
      <c r="K54" s="49" t="str">
        <f>HYPERLINK("https://docs.google.com/document/d/10c05MfIYxvKhgjDDr9ccSR2IzM42DsjDDh8xt4rfdmw/edit","Service Notes")</f>
        <v>Service Notes</v>
      </c>
      <c r="L54" s="51"/>
      <c r="M54" s="43" t="s">
        <v>83</v>
      </c>
      <c r="N54" s="51"/>
      <c r="O54" s="51"/>
      <c r="P54" s="43" t="s">
        <v>753</v>
      </c>
      <c r="Q54" s="52" t="str">
        <f>HYPERLINK("https://www.biblegateway.com/passage/?search=2 Timothy 2:8-13", "2 Timothy 2:8-13")</f>
        <v>2 Timothy 2:8-13</v>
      </c>
      <c r="R54" s="43" t="s">
        <v>756</v>
      </c>
      <c r="S54" s="52" t="str">
        <f>HYPERLINK("https://www.biblegateway.com/passage/?search=Ruth 1:1-19a", "Ruth 1:1-19a")</f>
        <v>Ruth 1:1-19a</v>
      </c>
      <c r="T54" s="52" t="str">
        <f>HYPERLINK("https://www.biblegateway.com/passage/?search=2 Timothy 2:8-13", "2 Timothy 2:8-13")</f>
        <v>2 Timothy 2:8-13</v>
      </c>
      <c r="U54" s="52" t="str">
        <f>HYPERLINK("https://www.biblegateway.com/passage/?search=Luke 17:11-19", "Luke 17:11-19")</f>
        <v>Luke 17:11-19</v>
      </c>
      <c r="V54" s="54" t="str">
        <f>HYPERLINK("https://www.biblegateway.com/passage/?search=Psalm 111*", "111*")</f>
        <v>111*</v>
      </c>
      <c r="W54" s="57"/>
      <c r="X54" s="57" t="s">
        <v>759</v>
      </c>
      <c r="Y54" s="34"/>
      <c r="Z54" s="47"/>
      <c r="AA54" s="47" t="s">
        <v>60</v>
      </c>
    </row>
    <row r="55" spans="1:27" ht="15.05">
      <c r="A55" s="16">
        <f t="shared" si="13"/>
        <v>3</v>
      </c>
      <c r="B55" s="41">
        <f t="shared" si="14"/>
        <v>42659</v>
      </c>
      <c r="C55" s="43" t="s">
        <v>760</v>
      </c>
      <c r="D55" s="43" t="s">
        <v>46</v>
      </c>
      <c r="E55" s="43" t="s">
        <v>46</v>
      </c>
      <c r="F55" s="44" t="s">
        <v>90</v>
      </c>
      <c r="G55" s="44" t="str">
        <f t="shared" si="7"/>
        <v/>
      </c>
      <c r="H55" s="43" t="s">
        <v>43</v>
      </c>
      <c r="I55" s="43" t="s">
        <v>40</v>
      </c>
      <c r="J55" s="47"/>
      <c r="K55" s="49" t="str">
        <f>HYPERLINK("https://drive.google.com/drive/folders/0B4o9FS6Fg-3eb2NBUXlzMzVELVk","Service Notes")</f>
        <v>Service Notes</v>
      </c>
      <c r="L55" s="51"/>
      <c r="M55" s="188" t="s">
        <v>91</v>
      </c>
      <c r="N55" s="184" t="s">
        <v>765</v>
      </c>
      <c r="O55" s="51"/>
      <c r="P55" s="49" t="str">
        <f>HYPERLINK("https://www.biblegateway.com/passage/?search=John+15:13","John 15:13")</f>
        <v>John 15:13</v>
      </c>
      <c r="Q55" s="60" t="str">
        <f>HYPERLINK("https://www.biblegateway.com/passage/?search=John 15:9-17", "John 15:9-17")</f>
        <v>John 15:9-17</v>
      </c>
      <c r="R55" s="43" t="s">
        <v>768</v>
      </c>
      <c r="S55" s="204" t="str">
        <f>HYPERLINK("https://www.biblegateway.com/passage/?search=Exodus 33:7-11", "Exodus 33:7-11")</f>
        <v>Exodus 33:7-11</v>
      </c>
      <c r="T55" s="204" t="str">
        <f>HYPERLINK("https://www.biblegateway.com/passage/?search=1 John 4:7-11", "1 John 4:7-11")</f>
        <v>1 John 4:7-11</v>
      </c>
      <c r="U55" s="204" t="str">
        <f>HYPERLINK("https://www.biblegateway.com/passage/?search=John 15:9-17", "John 15:9-17")</f>
        <v>John 15:9-17</v>
      </c>
      <c r="V55" s="54" t="str">
        <f>HYPERLINK("https://www.biblegateway.com/passage/?search=Psalm 121*", "121*")</f>
        <v>121*</v>
      </c>
      <c r="W55" s="47"/>
      <c r="X55" s="47" t="s">
        <v>775</v>
      </c>
      <c r="Y55" s="34"/>
      <c r="Z55" s="47" t="s">
        <v>209</v>
      </c>
      <c r="AA55" s="47" t="s">
        <v>60</v>
      </c>
    </row>
    <row r="56" spans="1:27" ht="15.05">
      <c r="A56" s="16">
        <f t="shared" si="13"/>
        <v>4</v>
      </c>
      <c r="B56" s="207">
        <f t="shared" ref="B56:B57" si="15">B55+7</f>
        <v>42666</v>
      </c>
      <c r="C56" s="43" t="s">
        <v>778</v>
      </c>
      <c r="D56" s="43" t="s">
        <v>43</v>
      </c>
      <c r="E56" s="43" t="s">
        <v>40</v>
      </c>
      <c r="F56" s="44" t="s">
        <v>779</v>
      </c>
      <c r="G56" s="45" t="str">
        <f t="shared" si="7"/>
        <v>X</v>
      </c>
      <c r="H56" s="162" t="s">
        <v>46</v>
      </c>
      <c r="I56" s="43" t="s">
        <v>40</v>
      </c>
      <c r="J56" s="53"/>
      <c r="K56" s="49" t="str">
        <f>HYPERLINK("https://drive.google.com/drive/u/0/folders/0B4o9FS6Fg-3eOTNkNG9BWWM3OU0","Service Notes")</f>
        <v>Service Notes</v>
      </c>
      <c r="L56" s="51"/>
      <c r="M56" s="43" t="s">
        <v>105</v>
      </c>
      <c r="N56" s="51"/>
      <c r="O56" s="51"/>
      <c r="P56" s="43" t="s">
        <v>450</v>
      </c>
      <c r="Q56" s="52" t="str">
        <f>HYPERLINK("https://www.biblegateway.com/passage/?search=Dt 10:12-22", "Dt 10:12-22")</f>
        <v>Dt 10:12-22</v>
      </c>
      <c r="R56" s="51"/>
      <c r="S56" s="52" t="str">
        <f>HYPERLINK("https://www.biblegateway.com/passage/?search=Dt 10:12-22", "Dt 10:12-22")</f>
        <v>Dt 10:12-22</v>
      </c>
      <c r="T56" s="52" t="str">
        <f>HYPERLINK("https://www.biblegateway.com/passage/?search=2 Tim 4:6-8,16-18", "2 Tim 4:6-8,16-18")</f>
        <v>2 Tim 4:6-8,16-18</v>
      </c>
      <c r="U56" s="52" t="str">
        <f>HYPERLINK("https://www.biblegateway.com/passage/?search=Luke 18:18-27", "Luke 18:18-27")</f>
        <v>Luke 18:18-27</v>
      </c>
      <c r="V56" s="44" t="s">
        <v>785</v>
      </c>
      <c r="W56" s="57"/>
      <c r="X56" s="57" t="s">
        <v>786</v>
      </c>
      <c r="Y56" s="34"/>
      <c r="Z56" s="47" t="s">
        <v>788</v>
      </c>
      <c r="AA56" s="47" t="s">
        <v>60</v>
      </c>
    </row>
    <row r="57" spans="1:27" ht="15.05">
      <c r="A57" s="16">
        <f t="shared" si="13"/>
        <v>5</v>
      </c>
      <c r="B57" s="173">
        <f t="shared" si="15"/>
        <v>42673</v>
      </c>
      <c r="C57" s="113" t="s">
        <v>790</v>
      </c>
      <c r="D57" s="114" t="s">
        <v>63</v>
      </c>
      <c r="E57" s="114" t="s">
        <v>40</v>
      </c>
      <c r="F57" s="115" t="s">
        <v>64</v>
      </c>
      <c r="G57" s="203" t="str">
        <f t="shared" si="7"/>
        <v>X</v>
      </c>
      <c r="H57" s="212" t="s">
        <v>43</v>
      </c>
      <c r="I57" s="212" t="s">
        <v>40</v>
      </c>
      <c r="J57" s="116"/>
      <c r="K57" s="119" t="str">
        <f>HYPERLINK("https://drive.google.com/drive/folders/0B4o9FS6Fg-3eQ1hVcmRIREQ2ZlU","Service Notes")</f>
        <v>Service Notes</v>
      </c>
      <c r="L57" s="113"/>
      <c r="M57" s="114" t="s">
        <v>126</v>
      </c>
      <c r="N57" s="113"/>
      <c r="O57" s="113"/>
      <c r="P57" s="114" t="s">
        <v>792</v>
      </c>
      <c r="Q57" s="151" t="str">
        <f>HYPERLINK("https://www.biblegateway.com/passage/?search=Romans 3:19-28", "Romans 3:19-28")</f>
        <v>Romans 3:19-28</v>
      </c>
      <c r="R57" s="113"/>
      <c r="S57" s="151" t="str">
        <f>HYPERLINK("https://www.biblegateway.com/passage/?search=Jer 31:31-34", "Jer 31:31-34")</f>
        <v>Jer 31:31-34</v>
      </c>
      <c r="T57" s="151" t="str">
        <f>HYPERLINK("https://www.biblegateway.com/passage/?search=Romans 3:19-28", "Romans 3:19-28")</f>
        <v>Romans 3:19-28</v>
      </c>
      <c r="U57" s="151" t="str">
        <f>HYPERLINK("https://www.biblegateway.com/passage/?search=John 8:31-36", "John 8:31-36")</f>
        <v>John 8:31-36</v>
      </c>
      <c r="V57" s="152" t="str">
        <f>HYPERLINK("https://www.biblegateway.com/passage/?search=Psalm 46*", "46*")</f>
        <v>46*</v>
      </c>
      <c r="W57" s="214"/>
      <c r="X57" s="214" t="s">
        <v>807</v>
      </c>
      <c r="Y57" s="34"/>
      <c r="Z57" s="215" t="s">
        <v>808</v>
      </c>
      <c r="AA57" s="116" t="s">
        <v>809</v>
      </c>
    </row>
    <row r="58" spans="1:27" ht="15.05">
      <c r="A58" s="16"/>
      <c r="B58" s="173">
        <f>B57</f>
        <v>42673</v>
      </c>
      <c r="C58" s="114" t="s">
        <v>812</v>
      </c>
      <c r="D58" s="114" t="s">
        <v>813</v>
      </c>
      <c r="E58" s="114" t="s">
        <v>815</v>
      </c>
      <c r="F58" s="115" t="s">
        <v>816</v>
      </c>
      <c r="G58" s="115"/>
      <c r="H58" s="115"/>
      <c r="I58" s="115"/>
      <c r="J58" s="116"/>
      <c r="K58" s="113"/>
      <c r="L58" s="113"/>
      <c r="M58" s="114" t="s">
        <v>818</v>
      </c>
      <c r="N58" s="113"/>
      <c r="O58" s="113"/>
      <c r="P58" s="114"/>
      <c r="Q58" s="151" t="str">
        <f>HYPERLINK("https://www.biblegateway.com/passage/?search=Romans 13:1-10", "Romans 13:1-10")</f>
        <v>Romans 13:1-10</v>
      </c>
      <c r="R58" s="114"/>
      <c r="S58" s="151" t="str">
        <f>HYPERLINK("https://www.biblegateway.com/passage/?search=Proverbs 2:1-11", "Proverbs 2:1-11")</f>
        <v>Proverbs 2:1-11</v>
      </c>
      <c r="T58" s="151" t="str">
        <f>HYPERLINK("https://www.biblegateway.com/passage/?search=Romans 13:1-10", "Romans 13:1-10")</f>
        <v>Romans 13:1-10</v>
      </c>
      <c r="U58" s="151" t="str">
        <f>HYPERLINK("https://www.biblegateway.com/passage/?search=Luke 20:20-26", "Luke 20:20-26")</f>
        <v>Luke 20:20-26</v>
      </c>
      <c r="V58" s="152" t="str">
        <f>HYPERLINK("https://www.biblegateway.com/passage/?search=Psalm 46", "46")</f>
        <v>46</v>
      </c>
      <c r="W58" s="224"/>
      <c r="X58" s="224"/>
      <c r="Y58" s="34"/>
      <c r="Z58" s="116" t="s">
        <v>826</v>
      </c>
      <c r="AA58" s="116" t="s">
        <v>809</v>
      </c>
    </row>
    <row r="59" spans="1:27" ht="15.05">
      <c r="A59" s="16">
        <f t="shared" ref="A59:A75" si="16">WEEKNUM(B59,2)-WEEKNUM(DATE(YEAR(B59),MONTH(B59),1),2)+1</f>
        <v>1</v>
      </c>
      <c r="B59" s="173">
        <f>B57+7</f>
        <v>42680</v>
      </c>
      <c r="C59" s="113" t="s">
        <v>758</v>
      </c>
      <c r="D59" s="114" t="s">
        <v>40</v>
      </c>
      <c r="E59" s="114" t="s">
        <v>40</v>
      </c>
      <c r="F59" s="115" t="s">
        <v>64</v>
      </c>
      <c r="G59" s="115" t="str">
        <f t="shared" ref="G59:G61" si="17">IF(OR(A59=2,A59=4,A59=5),"X","")</f>
        <v/>
      </c>
      <c r="H59" s="27" t="s">
        <v>830</v>
      </c>
      <c r="I59" s="27" t="s">
        <v>830</v>
      </c>
      <c r="J59" s="116"/>
      <c r="K59" s="119" t="str">
        <f>HYPERLINK("https://drive.google.com/drive/folders/0B4o9FS6Fg-3ecFZNN1JjOXlPT1U","Service Notes")</f>
        <v>Service Notes</v>
      </c>
      <c r="L59" s="113"/>
      <c r="M59" s="114" t="s">
        <v>831</v>
      </c>
      <c r="N59" s="113"/>
      <c r="O59" s="113"/>
      <c r="P59" s="114" t="s">
        <v>751</v>
      </c>
      <c r="Q59" s="151" t="str">
        <f>HYPERLINK("https://www.biblegateway.com/passage/?search=Luke 19:11-27", "Luke 19:11-27")</f>
        <v>Luke 19:11-27</v>
      </c>
      <c r="R59" s="114" t="s">
        <v>832</v>
      </c>
      <c r="S59" s="151" t="str">
        <f>HYPERLINK("https://www.biblegateway.com/passage/?search=Jer 26:1-6", "Jer 26:1-6")</f>
        <v>Jer 26:1-6</v>
      </c>
      <c r="T59" s="151" t="str">
        <f>HYPERLINK("https://www.biblegateway.com/passage/?search=2 Th 1:5-10", "2 Th 1:5-10")</f>
        <v>2 Th 1:5-10</v>
      </c>
      <c r="U59" s="151" t="str">
        <f>HYPERLINK("https://www.biblegateway.com/passage/?search=Luke 19:11-27", "Luke 19:11-27")</f>
        <v>Luke 19:11-27</v>
      </c>
      <c r="V59" s="152" t="str">
        <f>HYPERLINK("https://www.biblegateway.com/passage/?search=Psalm 90*", "90*")</f>
        <v>90*</v>
      </c>
      <c r="W59" s="230"/>
      <c r="X59" s="230" t="s">
        <v>835</v>
      </c>
      <c r="Y59" s="34"/>
      <c r="Z59" s="117"/>
      <c r="AA59" s="116" t="s">
        <v>336</v>
      </c>
    </row>
    <row r="60" spans="1:27" ht="15.05">
      <c r="A60" s="16">
        <f t="shared" si="16"/>
        <v>2</v>
      </c>
      <c r="B60" s="37">
        <f t="shared" ref="B60:B61" si="18">B59+7</f>
        <v>42687</v>
      </c>
      <c r="C60" s="25" t="s">
        <v>769</v>
      </c>
      <c r="D60" s="20" t="s">
        <v>46</v>
      </c>
      <c r="E60" s="20" t="s">
        <v>40</v>
      </c>
      <c r="F60" s="22" t="s">
        <v>64</v>
      </c>
      <c r="G60" s="23" t="str">
        <f t="shared" si="17"/>
        <v>X</v>
      </c>
      <c r="H60" s="20" t="s">
        <v>43</v>
      </c>
      <c r="I60" s="20" t="s">
        <v>40</v>
      </c>
      <c r="J60" s="26"/>
      <c r="K60" s="28" t="str">
        <f>HYPERLINK("https://drive.google.com/drive/u/0/folders/0B4o9FS6Fg-3ebE1aT3FveUg3MHM","Service Notes")</f>
        <v>Service Notes</v>
      </c>
      <c r="L60" s="25"/>
      <c r="M60" s="20" t="s">
        <v>514</v>
      </c>
      <c r="N60" s="25"/>
      <c r="O60" s="25"/>
      <c r="P60" s="20" t="s">
        <v>761</v>
      </c>
      <c r="Q60" s="31" t="str">
        <f>HYPERLINK("https://www.biblegateway.com/passage/?search=2 Th 2:13-3:5", "2 Th 2:13-3:5")</f>
        <v>2 Th 2:13-3:5</v>
      </c>
      <c r="R60" s="20" t="s">
        <v>841</v>
      </c>
      <c r="S60" s="31" t="str">
        <f>HYPERLINK("https://www.biblegateway.com/passage/?search=Isaiah 65:17-25", "Isaiah 65:17-25")</f>
        <v>Isaiah 65:17-25</v>
      </c>
      <c r="T60" s="31" t="str">
        <f>HYPERLINK("https://www.biblegateway.com/passage/?search=2 Th 2:13-3:5", "2 Th 2:13-3:5")</f>
        <v>2 Th 2:13-3:5</v>
      </c>
      <c r="U60" s="31" t="str">
        <f>HYPERLINK("https://www.biblegateway.com/passage/?search=Luke 20:27-38", "Luke 20:27-38")</f>
        <v>Luke 20:27-38</v>
      </c>
      <c r="V60" s="32" t="str">
        <f>HYPERLINK("https://www.biblegateway.com/passage/?search=Psalm 150*", "150*")</f>
        <v>150*</v>
      </c>
      <c r="W60" s="48"/>
      <c r="X60" s="48" t="s">
        <v>845</v>
      </c>
      <c r="Y60" s="34"/>
      <c r="Z60" s="33" t="s">
        <v>152</v>
      </c>
      <c r="AA60" s="33" t="s">
        <v>336</v>
      </c>
    </row>
    <row r="61" spans="1:27" ht="15.05">
      <c r="A61" s="16">
        <f t="shared" si="16"/>
        <v>3</v>
      </c>
      <c r="B61" s="37">
        <f t="shared" si="18"/>
        <v>42694</v>
      </c>
      <c r="C61" s="25" t="s">
        <v>795</v>
      </c>
      <c r="D61" s="20" t="s">
        <v>43</v>
      </c>
      <c r="E61" s="20" t="s">
        <v>43</v>
      </c>
      <c r="F61" s="22" t="s">
        <v>614</v>
      </c>
      <c r="G61" s="22" t="str">
        <f t="shared" si="17"/>
        <v/>
      </c>
      <c r="H61" s="20" t="s">
        <v>46</v>
      </c>
      <c r="I61" s="20" t="s">
        <v>40</v>
      </c>
      <c r="J61" s="26"/>
      <c r="K61" s="28" t="str">
        <f>HYPERLINK("https://docs.google.com/document/d/1IbdHsqRK7BqMVbRSZxBiA9mkp0TBkzmbFblif_IRuFE/edit#","Service Notes")</f>
        <v>Service Notes</v>
      </c>
      <c r="L61" s="25"/>
      <c r="M61" s="20" t="s">
        <v>91</v>
      </c>
      <c r="N61" s="25"/>
      <c r="O61" s="25"/>
      <c r="P61" s="20" t="s">
        <v>771</v>
      </c>
      <c r="Q61" s="31" t="str">
        <f>HYPERLINK("https://www.biblegateway.com/passage/?search=Luke 23:35-43", "Luke 23:35-43")</f>
        <v>Luke 23:35-43</v>
      </c>
      <c r="R61" s="20" t="s">
        <v>849</v>
      </c>
      <c r="S61" s="31" t="str">
        <f>HYPERLINK("https://www.biblegateway.com/passage/?search=Jeremiah 23:2-6", "Jeremiah 23:2-6")</f>
        <v>Jeremiah 23:2-6</v>
      </c>
      <c r="T61" s="31" t="str">
        <f>HYPERLINK("https://www.biblegateway.com/passage/?search=Colossians 1:13-20", "Colossians 1:13-20")</f>
        <v>Colossians 1:13-20</v>
      </c>
      <c r="U61" s="31" t="str">
        <f>HYPERLINK("https://www.biblegateway.com/passage/?search=Luke 23:35-43", "Luke 23:35-43")</f>
        <v>Luke 23:35-43</v>
      </c>
      <c r="V61" s="32" t="str">
        <f>HYPERLINK("https://www.biblegateway.com/passage/?search=Psalm 98*", "98*")</f>
        <v>98*</v>
      </c>
      <c r="W61" s="107"/>
      <c r="X61" s="107" t="s">
        <v>854</v>
      </c>
      <c r="Y61" s="34"/>
      <c r="Z61" s="33" t="s">
        <v>209</v>
      </c>
      <c r="AA61" s="33" t="s">
        <v>336</v>
      </c>
    </row>
    <row r="62" spans="1:27" ht="15.05">
      <c r="A62" s="16">
        <f t="shared" si="16"/>
        <v>4</v>
      </c>
      <c r="B62" s="17">
        <f>B61+3</f>
        <v>42697</v>
      </c>
      <c r="C62" s="20" t="s">
        <v>780</v>
      </c>
      <c r="D62" s="20" t="s">
        <v>40</v>
      </c>
      <c r="E62" s="20" t="s">
        <v>40</v>
      </c>
      <c r="F62" s="22" t="s">
        <v>64</v>
      </c>
      <c r="G62" s="22"/>
      <c r="H62" s="20"/>
      <c r="I62" s="20"/>
      <c r="J62" s="26"/>
      <c r="K62" s="28" t="str">
        <f>HYPERLINK("https://docs.google.com/document/d/1B1T8jFuXiTWFRNgqu2aVVljE-UxZUS-bF5Z-bWXxxQU/edit","Service Notes")</f>
        <v>Service Notes</v>
      </c>
      <c r="L62" s="25"/>
      <c r="M62" s="235" t="s">
        <v>856</v>
      </c>
      <c r="N62" s="20"/>
      <c r="O62" s="25"/>
      <c r="P62" s="25"/>
      <c r="Q62" s="81" t="str">
        <f t="shared" ref="Q62:Q63" si="19">HYPERLINK("https://www.biblegateway.com/passage/?search=Philippians 4:10-13", "Philippians 4:10-13")</f>
        <v>Philippians 4:10-13</v>
      </c>
      <c r="R62" s="20" t="s">
        <v>859</v>
      </c>
      <c r="S62" s="31" t="str">
        <f t="shared" ref="S62:S63" si="20">HYPERLINK("https://www.biblegateway.com/passage/?search=Dt 8:10-18", "Dt 8:10-18")</f>
        <v>Dt 8:10-18</v>
      </c>
      <c r="T62" s="31" t="str">
        <f t="shared" ref="T62:T63" si="21">HYPERLINK("https://www.biblegateway.com/passage/?search=Philippians 4:10-20", "Philippians 4:10-20")</f>
        <v>Philippians 4:10-20</v>
      </c>
      <c r="U62" s="31" t="str">
        <f t="shared" ref="U62:U63" si="22">HYPERLINK("https://www.biblegateway.com/passage/?search=Luke 17:11-19", "Luke 17:11-19")</f>
        <v>Luke 17:11-19</v>
      </c>
      <c r="V62" s="22">
        <v>100</v>
      </c>
      <c r="W62" s="33"/>
      <c r="X62" s="33" t="s">
        <v>861</v>
      </c>
      <c r="Y62" s="236"/>
      <c r="Z62" s="33" t="s">
        <v>165</v>
      </c>
      <c r="AA62" s="33" t="s">
        <v>40</v>
      </c>
    </row>
    <row r="63" spans="1:27" ht="15.05">
      <c r="A63" s="16">
        <f t="shared" si="16"/>
        <v>4</v>
      </c>
      <c r="B63" s="17">
        <f>B62+1</f>
        <v>42698</v>
      </c>
      <c r="C63" s="20" t="s">
        <v>780</v>
      </c>
      <c r="D63" s="20" t="s">
        <v>40</v>
      </c>
      <c r="E63" s="20" t="s">
        <v>40</v>
      </c>
      <c r="F63" s="22" t="s">
        <v>64</v>
      </c>
      <c r="G63" s="22"/>
      <c r="H63" s="20"/>
      <c r="I63" s="20"/>
      <c r="J63" s="26"/>
      <c r="K63" s="25"/>
      <c r="L63" s="25"/>
      <c r="M63" s="20"/>
      <c r="N63" s="20"/>
      <c r="O63" s="25"/>
      <c r="P63" s="25"/>
      <c r="Q63" s="81" t="str">
        <f t="shared" si="19"/>
        <v>Philippians 4:10-13</v>
      </c>
      <c r="R63" s="25"/>
      <c r="S63" s="31" t="str">
        <f t="shared" si="20"/>
        <v>Dt 8:10-18</v>
      </c>
      <c r="T63" s="31" t="str">
        <f t="shared" si="21"/>
        <v>Philippians 4:10-20</v>
      </c>
      <c r="U63" s="31" t="str">
        <f t="shared" si="22"/>
        <v>Luke 17:11-19</v>
      </c>
      <c r="V63" s="22">
        <v>100</v>
      </c>
      <c r="W63" s="239"/>
      <c r="X63" s="239"/>
      <c r="Y63" s="26"/>
      <c r="Z63" s="26"/>
      <c r="AA63" s="33" t="s">
        <v>40</v>
      </c>
    </row>
    <row r="64" spans="1:27" ht="15.05">
      <c r="A64" s="16">
        <f t="shared" si="16"/>
        <v>4</v>
      </c>
      <c r="B64" s="216">
        <f>B61+7</f>
        <v>42701</v>
      </c>
      <c r="C64" s="218" t="s">
        <v>870</v>
      </c>
      <c r="D64" s="218" t="s">
        <v>46</v>
      </c>
      <c r="E64" s="218" t="s">
        <v>40</v>
      </c>
      <c r="F64" s="219" t="s">
        <v>44</v>
      </c>
      <c r="G64" s="219" t="str">
        <f>IF(OR(A64=2,A64=4,A64=5),"X","")</f>
        <v>X</v>
      </c>
      <c r="H64" s="218" t="s">
        <v>43</v>
      </c>
      <c r="I64" s="218" t="s">
        <v>40</v>
      </c>
      <c r="J64" s="221"/>
      <c r="K64" s="226" t="str">
        <f>HYPERLINK("https://drive.google.com/drive/folders/0B4o9FS6Fg-3edWZVeUpXUzZNN00","Service Notes")</f>
        <v>Service Notes</v>
      </c>
      <c r="L64" s="223"/>
      <c r="M64" s="218" t="s">
        <v>872</v>
      </c>
      <c r="N64" s="223"/>
      <c r="O64" s="223"/>
      <c r="P64" s="218" t="s">
        <v>797</v>
      </c>
      <c r="Q64" s="225" t="str">
        <f>HYPERLINK("https://www.biblegateway.com/passage/?search=Isaiah 2:1-5", "Isaiah 2:1-5")</f>
        <v>Isaiah 2:1-5</v>
      </c>
      <c r="R64" s="218" t="s">
        <v>874</v>
      </c>
      <c r="S64" s="225" t="str">
        <f>HYPERLINK("https://www.biblegateway.com/passage/?search=Isaiah 2:1-5", "Isaiah 2:1-5")</f>
        <v>Isaiah 2:1-5</v>
      </c>
      <c r="T64" s="225" t="str">
        <f>HYPERLINK("https://www.biblegateway.com/passage/?search=Romans 13:11-14", "Romans 13:11-14")</f>
        <v>Romans 13:11-14</v>
      </c>
      <c r="U64" s="225" t="str">
        <f>HYPERLINK("https://www.biblegateway.com/passage/?search=Matthew 24:37-44", "Matthew 24:37-44")</f>
        <v>Matthew 24:37-44</v>
      </c>
      <c r="V64" s="227" t="str">
        <f>HYPERLINK("https://www.biblegateway.com/passage/?search=Psalm 18", "18")</f>
        <v>18</v>
      </c>
      <c r="W64" s="240"/>
      <c r="X64" s="240" t="s">
        <v>884</v>
      </c>
      <c r="Y64" s="34"/>
      <c r="Z64" s="228" t="s">
        <v>885</v>
      </c>
      <c r="AA64" s="228" t="s">
        <v>336</v>
      </c>
    </row>
    <row r="65" spans="1:27" ht="15.05">
      <c r="A65" s="16">
        <f t="shared" si="16"/>
        <v>5</v>
      </c>
      <c r="B65" s="229">
        <f>B64+3</f>
        <v>42704</v>
      </c>
      <c r="C65" s="218" t="s">
        <v>834</v>
      </c>
      <c r="D65" s="218" t="s">
        <v>43</v>
      </c>
      <c r="E65" s="218" t="s">
        <v>43</v>
      </c>
      <c r="F65" s="219" t="s">
        <v>64</v>
      </c>
      <c r="G65" s="220"/>
      <c r="H65" s="218"/>
      <c r="I65" s="218"/>
      <c r="J65" s="221"/>
      <c r="K65" s="226" t="str">
        <f>HYPERLINK("https://drive.google.com/drive/folders/0B4o9FS6Fg-3eU0pHejZ0OHFTakE","Service Notes")</f>
        <v>Service Notes</v>
      </c>
      <c r="L65" s="223"/>
      <c r="M65" s="218" t="s">
        <v>890</v>
      </c>
      <c r="N65" s="223"/>
      <c r="O65" s="223"/>
      <c r="P65" s="223"/>
      <c r="Q65" s="241" t="str">
        <f>HYPERLINK("https://www.biblegateway.com/passage/?search=Psalm 84", "Psalm 84")</f>
        <v>Psalm 84</v>
      </c>
      <c r="R65" s="218" t="s">
        <v>891</v>
      </c>
      <c r="S65" s="225" t="str">
        <f>HYPERLINK("https://www.biblegateway.com/passage/?search=", "")</f>
        <v/>
      </c>
      <c r="T65" s="218"/>
      <c r="U65" s="225" t="str">
        <f>HYPERLINK("https://www.biblegateway.com/passage/?search=Luke 1:5-38", "Luke 1:5-38")</f>
        <v>Luke 1:5-38</v>
      </c>
      <c r="V65" s="227" t="str">
        <f>HYPERLINK("https://www.biblegateway.com/passage/?search=Psalm 84", "84")</f>
        <v>84</v>
      </c>
      <c r="W65" s="228"/>
      <c r="X65" s="228" t="s">
        <v>893</v>
      </c>
      <c r="Y65" s="34"/>
      <c r="Z65" s="221"/>
      <c r="AA65" s="228" t="s">
        <v>504</v>
      </c>
    </row>
    <row r="66" spans="1:27" ht="15.05">
      <c r="A66" s="16">
        <f t="shared" si="16"/>
        <v>1</v>
      </c>
      <c r="B66" s="216">
        <f>B64+7</f>
        <v>42708</v>
      </c>
      <c r="C66" s="218" t="s">
        <v>894</v>
      </c>
      <c r="D66" s="218" t="s">
        <v>63</v>
      </c>
      <c r="E66" s="218" t="s">
        <v>43</v>
      </c>
      <c r="F66" s="219" t="s">
        <v>64</v>
      </c>
      <c r="G66" s="220" t="str">
        <f>IF(OR(A66=2,A66=4,A66=5),"X","")</f>
        <v/>
      </c>
      <c r="H66" s="218" t="s">
        <v>46</v>
      </c>
      <c r="I66" s="218" t="s">
        <v>43</v>
      </c>
      <c r="J66" s="221"/>
      <c r="K66" s="226" t="str">
        <f>HYPERLINK("https://drive.google.com/drive/folders/0B4o9FS6Fg-3eTUphVVBmQ2l0a1E","Service Notes")</f>
        <v>Service Notes</v>
      </c>
      <c r="L66" s="223"/>
      <c r="M66" s="218" t="s">
        <v>896</v>
      </c>
      <c r="N66" s="223"/>
      <c r="O66" s="223"/>
      <c r="P66" s="218" t="s">
        <v>825</v>
      </c>
      <c r="Q66" s="225" t="str">
        <f>HYPERLINK("https://www.biblegateway.com/passage/?search=Romans 15:4-13", "Romans 15:4-13")</f>
        <v>Romans 15:4-13</v>
      </c>
      <c r="R66" s="223"/>
      <c r="S66" s="241" t="str">
        <f>HYPERLINK("https://www.biblegateway.com/passage/?search=Isaiah 11:1-10", "Isaiah 11:1-10")</f>
        <v>Isaiah 11:1-10</v>
      </c>
      <c r="T66" s="225" t="str">
        <f>HYPERLINK("https://www.biblegateway.com/passage/?search=Romans 15:4-13", "Romans 15:4-13")</f>
        <v>Romans 15:4-13</v>
      </c>
      <c r="U66" s="226" t="str">
        <f>HYPERLINK("https://www.biblegateway.com/passage/?search=Matthew 3:1-12", "Matthew 3:1-12")</f>
        <v>Matthew 3:1-12</v>
      </c>
      <c r="V66" s="242" t="str">
        <f>HYPERLINK("https://www.biblegateway.com/passage/?search=Psalm 130*", "130*")</f>
        <v>130*</v>
      </c>
      <c r="W66" s="228"/>
      <c r="X66" s="228" t="s">
        <v>899</v>
      </c>
      <c r="Y66" s="34"/>
      <c r="Z66" s="228" t="s">
        <v>152</v>
      </c>
      <c r="AA66" s="228" t="s">
        <v>357</v>
      </c>
    </row>
    <row r="67" spans="1:27" ht="15.05">
      <c r="A67" s="16">
        <f t="shared" si="16"/>
        <v>2</v>
      </c>
      <c r="B67" s="229">
        <f>B66+3</f>
        <v>42711</v>
      </c>
      <c r="C67" s="218" t="s">
        <v>848</v>
      </c>
      <c r="D67" s="218" t="s">
        <v>46</v>
      </c>
      <c r="E67" s="218" t="s">
        <v>40</v>
      </c>
      <c r="F67" s="219" t="s">
        <v>44</v>
      </c>
      <c r="G67" s="219"/>
      <c r="H67" s="218"/>
      <c r="I67" s="218"/>
      <c r="J67" s="221"/>
      <c r="K67" s="226" t="str">
        <f>HYPERLINK("https://drive.google.com/drive/folders/0B4o9FS6Fg-3eM0VpNjQtaUZ1ZEE","Service Notes")</f>
        <v>Service Notes</v>
      </c>
      <c r="L67" s="223"/>
      <c r="M67" s="218" t="s">
        <v>890</v>
      </c>
      <c r="N67" s="223"/>
      <c r="O67" s="223"/>
      <c r="P67" s="223"/>
      <c r="Q67" s="225" t="str">
        <f>HYPERLINK("https://www.biblegateway.com/passage/?search=Galatians 3:26-4:7", "Galatians 3:26-4:7")</f>
        <v>Galatians 3:26-4:7</v>
      </c>
      <c r="R67" s="218" t="s">
        <v>901</v>
      </c>
      <c r="S67" s="223"/>
      <c r="T67" s="223"/>
      <c r="U67" s="225" t="str">
        <f>HYPERLINK("https://www.biblegateway.com/passage/?search=Luke 1:39-80", "Luke 1:39-80")</f>
        <v>Luke 1:39-80</v>
      </c>
      <c r="V67" s="249" t="str">
        <f>HYPERLINK("https://www.biblegateway.com/passage/?search=Psalm none", "none")</f>
        <v>none</v>
      </c>
      <c r="W67" s="228"/>
      <c r="X67" s="228" t="s">
        <v>906</v>
      </c>
      <c r="Y67" s="34"/>
      <c r="Z67" s="228" t="s">
        <v>165</v>
      </c>
      <c r="AA67" s="228" t="s">
        <v>504</v>
      </c>
    </row>
    <row r="68" spans="1:27" ht="15.05">
      <c r="A68" s="16">
        <f t="shared" si="16"/>
        <v>2</v>
      </c>
      <c r="B68" s="216">
        <f>B66+7</f>
        <v>42715</v>
      </c>
      <c r="C68" s="218" t="s">
        <v>907</v>
      </c>
      <c r="D68" s="218" t="s">
        <v>40</v>
      </c>
      <c r="E68" s="218" t="s">
        <v>43</v>
      </c>
      <c r="F68" s="219" t="s">
        <v>90</v>
      </c>
      <c r="G68" s="219" t="s">
        <v>572</v>
      </c>
      <c r="H68" s="218" t="s">
        <v>361</v>
      </c>
      <c r="I68" s="218" t="s">
        <v>43</v>
      </c>
      <c r="J68" s="228"/>
      <c r="K68" s="226" t="str">
        <f>HYPERLINK("https://drive.google.com/drive/folders/0B4o9FS6Fg-3eU3d5dG5jMDhpaDg","Service Notes")</f>
        <v>Service Notes</v>
      </c>
      <c r="L68" s="223"/>
      <c r="M68" s="218" t="s">
        <v>872</v>
      </c>
      <c r="N68" s="223"/>
      <c r="O68" s="223"/>
      <c r="P68" s="218" t="s">
        <v>843</v>
      </c>
      <c r="Q68" s="225" t="str">
        <f>HYPERLINK("https://www.biblegateway.com/passage/?search=Matthew 11:2-11", "Matthew 11:2-11")</f>
        <v>Matthew 11:2-11</v>
      </c>
      <c r="R68" s="218" t="s">
        <v>908</v>
      </c>
      <c r="S68" s="225" t="str">
        <f>HYPERLINK("https://www.biblegateway.com/passage/?search=Isaiah 35:1-10", "Isaiah 35:1-10")</f>
        <v>Isaiah 35:1-10</v>
      </c>
      <c r="T68" s="225" t="str">
        <f>HYPERLINK("https://www.biblegateway.com/passage/?search=James 5:7-11", "James 5:7-11")</f>
        <v>James 5:7-11</v>
      </c>
      <c r="U68" s="225" t="str">
        <f>HYPERLINK("https://www.biblegateway.com/passage/?search=Matthew 11:2-11", "Matthew 11:2-11")</f>
        <v>Matthew 11:2-11</v>
      </c>
      <c r="V68" s="249" t="str">
        <f>HYPERLINK("https://www.biblegateway.com/passage/?search=Psalm 146*", "146*")</f>
        <v>146*</v>
      </c>
      <c r="W68" s="228"/>
      <c r="X68" s="228" t="s">
        <v>911</v>
      </c>
      <c r="Y68" s="34"/>
      <c r="Z68" s="228" t="s">
        <v>209</v>
      </c>
      <c r="AA68" s="228" t="s">
        <v>357</v>
      </c>
    </row>
    <row r="69" spans="1:27" ht="15.05">
      <c r="A69" s="16">
        <f t="shared" si="16"/>
        <v>3</v>
      </c>
      <c r="B69" s="229">
        <f>B68+3</f>
        <v>42718</v>
      </c>
      <c r="C69" s="218" t="s">
        <v>858</v>
      </c>
      <c r="D69" s="218" t="s">
        <v>40</v>
      </c>
      <c r="E69" s="218" t="s">
        <v>40</v>
      </c>
      <c r="F69" s="219" t="s">
        <v>44</v>
      </c>
      <c r="G69" s="220" t="str">
        <f t="shared" ref="G69:G71" si="23">IF(OR(A69=2,A69=4,A69=5),"X","")</f>
        <v/>
      </c>
      <c r="H69" s="218"/>
      <c r="I69" s="218"/>
      <c r="J69" s="221"/>
      <c r="K69" s="226" t="str">
        <f>HYPERLINK("https://drive.google.com/drive/folders/0B4o9FS6Fg-3ecEtMdzF6SGcxcWs","Service Notes")</f>
        <v>Service Notes</v>
      </c>
      <c r="L69" s="223"/>
      <c r="M69" s="218" t="s">
        <v>890</v>
      </c>
      <c r="N69" s="223"/>
      <c r="O69" s="223"/>
      <c r="P69" s="223"/>
      <c r="Q69" s="225" t="str">
        <f>HYPERLINK("https://www.biblegateway.com/passage/?search=Revelation 7:9-17", "Revelation 7:9-17")</f>
        <v>Revelation 7:9-17</v>
      </c>
      <c r="R69" s="218" t="s">
        <v>914</v>
      </c>
      <c r="S69" s="223"/>
      <c r="T69" s="223"/>
      <c r="U69" s="225" t="str">
        <f>HYPERLINK("https://www.biblegateway.com/passage/?search=Luke 2:1-40", "Luke 2:1-40")</f>
        <v>Luke 2:1-40</v>
      </c>
      <c r="V69" s="242" t="str">
        <f>HYPERLINK("https://www.biblegateway.com/passage/?search=121", "121")</f>
        <v>121</v>
      </c>
      <c r="W69" s="228"/>
      <c r="X69" s="228" t="s">
        <v>915</v>
      </c>
      <c r="Y69" s="34"/>
      <c r="Z69" s="221"/>
      <c r="AA69" s="228" t="s">
        <v>504</v>
      </c>
    </row>
    <row r="70" spans="1:27" ht="15.05">
      <c r="A70" s="16">
        <f t="shared" si="16"/>
        <v>3</v>
      </c>
      <c r="B70" s="216">
        <f>B68+7</f>
        <v>42722</v>
      </c>
      <c r="C70" s="218" t="s">
        <v>916</v>
      </c>
      <c r="D70" s="218" t="s">
        <v>46</v>
      </c>
      <c r="E70" s="218" t="s">
        <v>46</v>
      </c>
      <c r="F70" s="219" t="s">
        <v>917</v>
      </c>
      <c r="G70" s="220" t="str">
        <f t="shared" si="23"/>
        <v/>
      </c>
      <c r="H70" s="218"/>
      <c r="I70" s="218" t="s">
        <v>43</v>
      </c>
      <c r="J70" s="221"/>
      <c r="K70" s="226" t="str">
        <f>HYPERLINK("https://drive.google.com/drive/folders/0B4o9FS6Fg-3eQ2JueFh3Q2dCSG8","Service Notes")</f>
        <v>Service Notes</v>
      </c>
      <c r="L70" s="223"/>
      <c r="M70" s="218" t="s">
        <v>920</v>
      </c>
      <c r="N70" s="223"/>
      <c r="O70" s="223"/>
      <c r="P70" s="218" t="s">
        <v>852</v>
      </c>
      <c r="Q70" s="225" t="str">
        <f>HYPERLINK("https://www.biblegateway.com/passage/?search=Matthew 1:18-25", "Matthew 1:18-25")</f>
        <v>Matthew 1:18-25</v>
      </c>
      <c r="R70" s="218" t="s">
        <v>923</v>
      </c>
      <c r="S70" s="225" t="str">
        <f>HYPERLINK("https://www.biblegateway.com/passage/?search=Isaiah 7:10-14", "Isaiah 7:10-14")</f>
        <v>Isaiah 7:10-14</v>
      </c>
      <c r="T70" s="225" t="str">
        <f>HYPERLINK("https://www.biblegateway.com/passage/?search=Romans 1:1-7", "Romans 1:1-7")</f>
        <v>Romans 1:1-7</v>
      </c>
      <c r="U70" s="241" t="str">
        <f>HYPERLINK("https://www.biblegateway.com/passage/?search=Matthew 1:18-25", "Matthew 1:18-25")</f>
        <v>Matthew 1:18-25</v>
      </c>
      <c r="V70" s="249" t="str">
        <f>HYPERLINK("https://www.biblegateway.com/passage/?search=Psalm 24*", "24*")</f>
        <v>24*</v>
      </c>
      <c r="W70" s="228"/>
      <c r="X70" s="228" t="s">
        <v>924</v>
      </c>
      <c r="Y70" s="34"/>
      <c r="Z70" s="228" t="s">
        <v>925</v>
      </c>
      <c r="AA70" s="228" t="s">
        <v>357</v>
      </c>
    </row>
    <row r="71" spans="1:27" ht="15.05">
      <c r="A71" s="16" t="e">
        <f t="shared" si="16"/>
        <v>#VALUE!</v>
      </c>
      <c r="B71" s="254" t="s">
        <v>927</v>
      </c>
      <c r="C71" s="218" t="s">
        <v>928</v>
      </c>
      <c r="D71" s="255" t="s">
        <v>929</v>
      </c>
      <c r="E71" s="218" t="s">
        <v>46</v>
      </c>
      <c r="F71" s="219" t="s">
        <v>930</v>
      </c>
      <c r="G71" s="220" t="e">
        <f t="shared" si="23"/>
        <v>#VALUE!</v>
      </c>
      <c r="H71" s="220"/>
      <c r="I71" s="220"/>
      <c r="J71" s="221"/>
      <c r="K71" s="223"/>
      <c r="L71" s="223"/>
      <c r="M71" s="255" t="s">
        <v>931</v>
      </c>
      <c r="N71" s="223"/>
      <c r="O71" s="223"/>
      <c r="P71" s="223"/>
      <c r="Q71" s="223"/>
      <c r="R71" s="223"/>
      <c r="S71" s="223"/>
      <c r="T71" s="223"/>
      <c r="U71" s="223"/>
      <c r="V71" s="220"/>
      <c r="W71" s="221"/>
      <c r="X71" s="221"/>
      <c r="Y71" s="34"/>
      <c r="Z71" s="221"/>
      <c r="AA71" s="256" t="s">
        <v>933</v>
      </c>
    </row>
    <row r="72" spans="1:27" ht="15.05">
      <c r="A72" s="16">
        <f t="shared" si="16"/>
        <v>4</v>
      </c>
      <c r="B72" s="229">
        <v>42728</v>
      </c>
      <c r="C72" s="218" t="s">
        <v>935</v>
      </c>
      <c r="D72" s="255" t="s">
        <v>929</v>
      </c>
      <c r="E72" s="218" t="s">
        <v>40</v>
      </c>
      <c r="F72" s="219" t="s">
        <v>44</v>
      </c>
      <c r="G72" s="220"/>
      <c r="H72" s="220"/>
      <c r="I72" s="220"/>
      <c r="J72" s="221"/>
      <c r="K72" s="226" t="str">
        <f>HYPERLINK("https://drive.google.com/drive/folders/0B4o9FS6Fg-3ecDdmLVA3SzNNRXM","Service Notes")</f>
        <v>Service Notes</v>
      </c>
      <c r="L72" s="223"/>
      <c r="M72" s="255" t="s">
        <v>936</v>
      </c>
      <c r="N72" s="223"/>
      <c r="O72" s="223"/>
      <c r="P72" s="218" t="s">
        <v>873</v>
      </c>
      <c r="Q72" s="258" t="str">
        <f>HYPERLINK("https://www.biblegateway.com/passage/?search=No sermon", "No sermon")</f>
        <v>No sermon</v>
      </c>
      <c r="R72" s="223"/>
      <c r="S72" s="225" t="str">
        <f t="shared" ref="S72:U72" si="24">HYPERLINK("https://www.biblegateway.com/passage/?search=", "")</f>
        <v/>
      </c>
      <c r="T72" s="225" t="str">
        <f t="shared" si="24"/>
        <v/>
      </c>
      <c r="U72" s="225" t="str">
        <f t="shared" si="24"/>
        <v/>
      </c>
      <c r="V72" s="219">
        <v>96</v>
      </c>
      <c r="W72" s="221"/>
      <c r="X72" s="221"/>
      <c r="Y72" s="236"/>
      <c r="Z72" s="228" t="s">
        <v>152</v>
      </c>
      <c r="AA72" s="228" t="s">
        <v>60</v>
      </c>
    </row>
    <row r="73" spans="1:27" ht="15.05">
      <c r="A73" s="16">
        <f t="shared" si="16"/>
        <v>4</v>
      </c>
      <c r="B73" s="229">
        <v>42728</v>
      </c>
      <c r="C73" s="218" t="s">
        <v>871</v>
      </c>
      <c r="D73" s="218" t="s">
        <v>46</v>
      </c>
      <c r="E73" s="218" t="s">
        <v>46</v>
      </c>
      <c r="F73" s="219" t="s">
        <v>937</v>
      </c>
      <c r="G73" s="220"/>
      <c r="H73" s="220"/>
      <c r="I73" s="220"/>
      <c r="J73" s="221"/>
      <c r="K73" s="257"/>
      <c r="L73" s="223"/>
      <c r="M73" s="255" t="s">
        <v>856</v>
      </c>
      <c r="N73" s="223"/>
      <c r="O73" s="223"/>
      <c r="P73" s="218" t="s">
        <v>873</v>
      </c>
      <c r="Q73" s="226" t="str">
        <f>HYPERLINK("https://www.biblegateway.com/passage/?search=1 John 4:7-12", "1 John 4:7-12")</f>
        <v>1 John 4:7-12</v>
      </c>
      <c r="R73" s="218" t="s">
        <v>938</v>
      </c>
      <c r="S73" s="225" t="str">
        <f>HYPERLINK("https://www.biblegateway.com/passage/?search=Isaiah 9:2-7", "Isaiah 9:2-7")</f>
        <v>Isaiah 9:2-7</v>
      </c>
      <c r="T73" s="225" t="str">
        <f>HYPERLINK("https://www.biblegateway.com/passage/?search=Titus 2:11-14", "Titus 2:11-14")</f>
        <v>Titus 2:11-14</v>
      </c>
      <c r="U73" s="225" t="str">
        <f>HYPERLINK("https://www.biblegateway.com/passage/?search=Luke 2:1-20", "Luke 2:1-20")</f>
        <v>Luke 2:1-20</v>
      </c>
      <c r="V73" s="219">
        <v>96</v>
      </c>
      <c r="W73" s="228"/>
      <c r="X73" s="228" t="s">
        <v>941</v>
      </c>
      <c r="Y73" s="236"/>
      <c r="Z73" s="221"/>
      <c r="AA73" s="228" t="s">
        <v>40</v>
      </c>
    </row>
    <row r="74" spans="1:27" ht="15.05">
      <c r="A74" s="16">
        <f t="shared" si="16"/>
        <v>4</v>
      </c>
      <c r="B74" s="17">
        <v>42729</v>
      </c>
      <c r="C74" s="25" t="s">
        <v>882</v>
      </c>
      <c r="D74" s="20" t="s">
        <v>43</v>
      </c>
      <c r="E74" s="20" t="s">
        <v>40</v>
      </c>
      <c r="F74" s="22" t="s">
        <v>64</v>
      </c>
      <c r="G74" s="22" t="str">
        <f t="shared" ref="G74:G75" si="25">IF(OR(A74=2,A74=4,A74=5),"X","")</f>
        <v>X</v>
      </c>
      <c r="H74" s="22" t="s">
        <v>943</v>
      </c>
      <c r="I74" s="23"/>
      <c r="J74" s="26"/>
      <c r="K74" s="46" t="str">
        <f>HYPERLINK("https://docs.google.com/document/d/19bFbITnOIr78vfELhxruCqfJTm66JjBROuBYEOFQY9M/edit","Service notes")</f>
        <v>Service notes</v>
      </c>
      <c r="L74" s="25"/>
      <c r="M74" s="235" t="s">
        <v>818</v>
      </c>
      <c r="N74" s="25"/>
      <c r="O74" s="25"/>
      <c r="P74" s="20" t="s">
        <v>883</v>
      </c>
      <c r="Q74" s="81" t="str">
        <f>HYPERLINK("https://www.biblegateway.com/passage/?search=Romans 8:31-32", "Romans 8:31-32")</f>
        <v>Romans 8:31-32</v>
      </c>
      <c r="R74" s="139" t="str">
        <f>HYPERLINK("https://www.biblegateway.com/passage/?search=How will God not be gracious?", "How will God not be gracious?")</f>
        <v>How will God not be gracious?</v>
      </c>
      <c r="S74" s="31" t="str">
        <f>HYPERLINK("https://www.biblegateway.com/passage/?search=Isaiah 52:7-10", "Isaiah 52:7-10")</f>
        <v>Isaiah 52:7-10</v>
      </c>
      <c r="T74" s="31" t="str">
        <f>HYPERLINK("https://www.biblegateway.com/passage/?search=Hebrews 1:1-9", "Hebrews 1:1-9")</f>
        <v>Hebrews 1:1-9</v>
      </c>
      <c r="U74" s="31" t="str">
        <f>HYPERLINK("https://www.biblegateway.com/passage/?search=John 1:1-14", "John 1:1-14")</f>
        <v>John 1:1-14</v>
      </c>
      <c r="V74" s="22">
        <v>98</v>
      </c>
      <c r="W74" s="33"/>
      <c r="X74" s="33" t="s">
        <v>944</v>
      </c>
      <c r="Y74" s="236"/>
      <c r="Z74" s="26"/>
      <c r="AA74" s="33" t="s">
        <v>945</v>
      </c>
    </row>
    <row r="75" spans="1:27" ht="15.05">
      <c r="A75" s="16">
        <f t="shared" si="16"/>
        <v>5</v>
      </c>
      <c r="B75" s="17">
        <v>42735</v>
      </c>
      <c r="C75" s="25" t="s">
        <v>897</v>
      </c>
      <c r="D75" s="20" t="s">
        <v>46</v>
      </c>
      <c r="E75" s="20" t="s">
        <v>40</v>
      </c>
      <c r="F75" s="22" t="s">
        <v>64</v>
      </c>
      <c r="G75" s="22" t="str">
        <f t="shared" si="25"/>
        <v>X</v>
      </c>
      <c r="H75" s="23"/>
      <c r="I75" s="23"/>
      <c r="J75" s="26"/>
      <c r="K75" s="25"/>
      <c r="L75" s="25"/>
      <c r="M75" s="235" t="s">
        <v>856</v>
      </c>
      <c r="N75" s="25"/>
      <c r="O75" s="25"/>
      <c r="P75" s="20" t="s">
        <v>898</v>
      </c>
      <c r="Q75" s="28" t="str">
        <f>HYPERLINK("https://www.biblegateway.com/passage/?search=1 John 2:15-17", "1 John 2:15-17")</f>
        <v>1 John 2:15-17</v>
      </c>
      <c r="R75" s="20" t="s">
        <v>946</v>
      </c>
      <c r="S75" s="28" t="str">
        <f>HYPERLINK("https://www.biblegateway.com/passage/?search=Numbers 6:22-27", "Numbers 6:22-27")</f>
        <v>Numbers 6:22-27</v>
      </c>
      <c r="T75" s="28" t="str">
        <f>HYPERLINK("https://www.biblegateway.com/passage/?search=Galatians 5:13-26", "Galatians 5:13-26")</f>
        <v>Galatians 5:13-26</v>
      </c>
      <c r="U75" s="28" t="str">
        <f>HYPERLINK("https://www.biblegateway.com/passage/?search=Luke 12:13-26, 32-34", "Luke 12:13-26, 32-34")</f>
        <v>Luke 12:13-26, 32-34</v>
      </c>
      <c r="V75" s="22">
        <v>90</v>
      </c>
      <c r="W75" s="26"/>
      <c r="X75" s="33" t="s">
        <v>947</v>
      </c>
      <c r="Y75" s="26"/>
      <c r="Z75" s="26"/>
      <c r="AA75" s="33" t="s">
        <v>60</v>
      </c>
    </row>
    <row r="76" spans="1:27" ht="15.05">
      <c r="A76" s="243"/>
      <c r="B76" s="243"/>
      <c r="C76" s="244" t="s">
        <v>900</v>
      </c>
      <c r="D76" s="243"/>
      <c r="E76" s="243"/>
      <c r="F76" s="245"/>
      <c r="G76">
        <f>COUNTIF(G$2:G$75,"=X")</f>
        <v>30</v>
      </c>
      <c r="H76" s="243"/>
      <c r="I76" s="243"/>
      <c r="J76" s="246"/>
      <c r="K76" s="243"/>
      <c r="L76" s="243"/>
      <c r="M76" s="243"/>
      <c r="N76" s="243"/>
      <c r="O76" s="243"/>
      <c r="P76" s="243"/>
      <c r="Q76" s="243"/>
      <c r="R76" s="243"/>
      <c r="S76" s="243"/>
      <c r="T76" s="243"/>
      <c r="U76" s="243"/>
      <c r="V76" s="245"/>
      <c r="W76" s="246"/>
      <c r="X76" s="246"/>
      <c r="Y76" s="246"/>
      <c r="Z76" s="246"/>
      <c r="AA76" s="246"/>
    </row>
    <row r="77" spans="1:27" ht="12.55">
      <c r="C77" s="5" t="s">
        <v>43</v>
      </c>
      <c r="D77">
        <f t="shared" ref="D77:E77" si="26">COUNTIF(D$2:D$75,"=Brauer")</f>
        <v>19</v>
      </c>
      <c r="E77">
        <f t="shared" si="26"/>
        <v>20</v>
      </c>
      <c r="F77" s="248"/>
      <c r="H77">
        <f t="shared" ref="H77:I77" si="27">COUNTIF(H$2:H$75,"=Brauer")</f>
        <v>12</v>
      </c>
      <c r="I77">
        <f t="shared" si="27"/>
        <v>16</v>
      </c>
      <c r="V77" s="248"/>
    </row>
    <row r="78" spans="1:27" ht="12.55">
      <c r="C78" s="5" t="s">
        <v>40</v>
      </c>
      <c r="D78">
        <f t="shared" ref="D78:E78" si="28">COUNTIF(D$2:D$75,"=Buchholz")</f>
        <v>14</v>
      </c>
      <c r="E78">
        <f t="shared" si="28"/>
        <v>27</v>
      </c>
      <c r="F78" s="248"/>
      <c r="G78" s="248"/>
      <c r="H78">
        <f t="shared" ref="H78:I78" si="29">COUNTIF(H$2:H$75,"=Buchholz")</f>
        <v>2</v>
      </c>
      <c r="I78">
        <f t="shared" si="29"/>
        <v>16</v>
      </c>
      <c r="V78" s="248"/>
      <c r="W78" s="5"/>
      <c r="X78" s="5"/>
    </row>
    <row r="79" spans="1:27" ht="12.55">
      <c r="C79" s="5" t="s">
        <v>46</v>
      </c>
      <c r="D79">
        <f t="shared" ref="D79:E79" si="30">COUNTIF(D$2:D$75,"=Gran")</f>
        <v>22</v>
      </c>
      <c r="E79">
        <f t="shared" si="30"/>
        <v>22</v>
      </c>
      <c r="F79" s="248"/>
      <c r="G79" s="248"/>
      <c r="H79">
        <f t="shared" ref="H79:I79" si="31">COUNTIF(H$2:H$75,"=Gran")</f>
        <v>20</v>
      </c>
      <c r="I79">
        <f t="shared" si="31"/>
        <v>13</v>
      </c>
      <c r="V79" s="248"/>
      <c r="X79" s="5"/>
    </row>
    <row r="80" spans="1:27" ht="12.55">
      <c r="C80" s="5" t="s">
        <v>63</v>
      </c>
      <c r="D80">
        <f t="shared" ref="D80:E80" si="32">COUNTIF(D$2:D$75,"=Pautz")</f>
        <v>11</v>
      </c>
      <c r="E80">
        <f t="shared" si="32"/>
        <v>1</v>
      </c>
      <c r="F80" s="248"/>
      <c r="G80" s="248"/>
      <c r="H80">
        <f t="shared" ref="H80:I80" si="33">COUNTIF(H$2:H$75,"=Pautz")</f>
        <v>0</v>
      </c>
      <c r="I80">
        <f t="shared" si="33"/>
        <v>0</v>
      </c>
      <c r="V80" s="248"/>
      <c r="X80" s="5"/>
    </row>
    <row r="81" spans="24:25" ht="12.55">
      <c r="X81" s="5"/>
    </row>
    <row r="82" spans="24:25" ht="12.55">
      <c r="X82" s="5"/>
      <c r="Y82" s="5" t="s">
        <v>950</v>
      </c>
    </row>
    <row r="83" spans="24:25" ht="12.55">
      <c r="X83" s="5"/>
      <c r="Y83" s="5" t="s">
        <v>950</v>
      </c>
    </row>
    <row r="84" spans="24:25" ht="12.55">
      <c r="X84" s="5"/>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AA1007"/>
  <sheetViews>
    <sheetView tabSelected="1" workbookViewId="0">
      <pane xSplit="2" ySplit="1" topLeftCell="C56" activePane="bottomRight" state="frozen"/>
      <selection pane="topRight" activeCell="C1" sqref="C1"/>
      <selection pane="bottomLeft" activeCell="A2" sqref="A2"/>
      <selection pane="bottomRight" activeCell="I2" sqref="I2"/>
    </sheetView>
  </sheetViews>
  <sheetFormatPr defaultColWidth="17.33203125" defaultRowHeight="15.85" customHeight="1"/>
  <cols>
    <col min="1" max="1" width="27.5546875" customWidth="1"/>
    <col min="2" max="2" width="31" customWidth="1"/>
    <col min="5" max="5" width="19.33203125" customWidth="1"/>
    <col min="6" max="6" width="3.33203125" customWidth="1"/>
    <col min="8" max="8" width="22" customWidth="1"/>
    <col min="9" max="9" width="6.6640625" customWidth="1"/>
    <col min="12" max="12" width="42.88671875" customWidth="1"/>
    <col min="13" max="13" width="7.44140625" customWidth="1"/>
    <col min="14" max="14" width="15.5546875" customWidth="1"/>
    <col min="16" max="16" width="20.109375" customWidth="1"/>
    <col min="17" max="17" width="40.5546875" customWidth="1"/>
    <col min="18" max="18" width="22.109375" customWidth="1"/>
    <col min="19" max="19" width="20.44140625" customWidth="1"/>
    <col min="22" max="22" width="21.6640625" customWidth="1"/>
    <col min="23" max="23" width="6.5546875" customWidth="1"/>
  </cols>
  <sheetData>
    <row r="1" spans="1:27" ht="15.05">
      <c r="A1" s="7" t="s">
        <v>0</v>
      </c>
      <c r="B1" s="7" t="s">
        <v>3</v>
      </c>
      <c r="C1" s="4" t="s">
        <v>5</v>
      </c>
      <c r="D1" s="4" t="s">
        <v>6</v>
      </c>
      <c r="E1" s="8" t="s">
        <v>7</v>
      </c>
      <c r="F1" s="8" t="s">
        <v>10</v>
      </c>
      <c r="G1" s="4" t="s">
        <v>13</v>
      </c>
      <c r="H1" s="4" t="s">
        <v>12</v>
      </c>
      <c r="I1" s="9" t="s">
        <v>14</v>
      </c>
      <c r="J1" s="7" t="s">
        <v>15</v>
      </c>
      <c r="K1" s="7" t="s">
        <v>16</v>
      </c>
      <c r="L1" s="7" t="s">
        <v>17</v>
      </c>
      <c r="M1" s="7" t="s">
        <v>18</v>
      </c>
      <c r="N1" s="7" t="s">
        <v>19</v>
      </c>
      <c r="O1" s="7" t="s">
        <v>20</v>
      </c>
      <c r="P1" s="7" t="s">
        <v>22</v>
      </c>
      <c r="Q1" s="7" t="s">
        <v>23</v>
      </c>
      <c r="R1" s="7" t="s">
        <v>24</v>
      </c>
      <c r="S1" s="7" t="s">
        <v>25</v>
      </c>
      <c r="T1" s="7" t="s">
        <v>26</v>
      </c>
      <c r="U1" s="8" t="s">
        <v>30</v>
      </c>
      <c r="V1" s="11" t="s">
        <v>974</v>
      </c>
      <c r="W1" s="13" t="s">
        <v>32</v>
      </c>
      <c r="X1" s="13" t="s">
        <v>687</v>
      </c>
      <c r="Y1" s="13" t="s">
        <v>62</v>
      </c>
    </row>
    <row r="2" spans="1:27" ht="15.05">
      <c r="A2" s="17">
        <v>42008</v>
      </c>
      <c r="B2" s="19" t="s">
        <v>66</v>
      </c>
      <c r="C2" s="20" t="s">
        <v>43</v>
      </c>
      <c r="D2" s="20" t="s">
        <v>40</v>
      </c>
      <c r="E2" s="22" t="s">
        <v>44</v>
      </c>
      <c r="F2" s="23" t="str">
        <f t="shared" ref="F2:F8" si="0">IF(OR(INT(DAY(A2)/7)+1=2,INT(DAY(A2)/7)+1=4,INT(DAY(A2)/7)+1=5),"X","")</f>
        <v/>
      </c>
      <c r="G2" s="20" t="s">
        <v>46</v>
      </c>
      <c r="H2" s="20" t="s">
        <v>40</v>
      </c>
      <c r="I2" s="26"/>
      <c r="J2" s="28" t="str">
        <f>HYPERLINK("https://drive.google.com/a/elstempe.org/?tab=wo#folders/0B4o9FS6Fg-3eTVlrZGpkY2h6TjA","Service notes")</f>
        <v>Service notes</v>
      </c>
      <c r="K2" s="25"/>
      <c r="L2" s="20" t="s">
        <v>975</v>
      </c>
      <c r="M2" s="25"/>
      <c r="N2" s="25"/>
      <c r="O2" s="20" t="s">
        <v>55</v>
      </c>
      <c r="P2" s="20" t="s">
        <v>976</v>
      </c>
      <c r="Q2" s="20" t="s">
        <v>977</v>
      </c>
      <c r="R2" s="20" t="s">
        <v>978</v>
      </c>
      <c r="S2" s="20" t="s">
        <v>979</v>
      </c>
      <c r="T2" s="20" t="s">
        <v>976</v>
      </c>
      <c r="U2" s="22" t="s">
        <v>150</v>
      </c>
      <c r="V2" s="33" t="s">
        <v>980</v>
      </c>
      <c r="W2" s="39"/>
      <c r="X2" s="33" t="s">
        <v>981</v>
      </c>
      <c r="Y2" s="33" t="s">
        <v>357</v>
      </c>
    </row>
    <row r="3" spans="1:27" ht="15.05">
      <c r="A3" s="17">
        <v>42015</v>
      </c>
      <c r="B3" s="19" t="s">
        <v>38</v>
      </c>
      <c r="C3" s="20" t="s">
        <v>63</v>
      </c>
      <c r="D3" s="20" t="s">
        <v>43</v>
      </c>
      <c r="E3" s="22" t="s">
        <v>64</v>
      </c>
      <c r="F3" s="23" t="str">
        <f t="shared" si="0"/>
        <v>X</v>
      </c>
      <c r="G3" s="20" t="s">
        <v>46</v>
      </c>
      <c r="H3" s="20" t="s">
        <v>40</v>
      </c>
      <c r="I3" s="26"/>
      <c r="J3" s="28" t="str">
        <f>HYPERLINK("https://drive.google.com/a/elstempe.org/?tab=wo#folders/0B4o9FS6Fg-3eVTQzT0Q1cHRsbWc","Service notes")</f>
        <v>Service notes</v>
      </c>
      <c r="K3" s="25"/>
      <c r="L3" s="20" t="s">
        <v>266</v>
      </c>
      <c r="M3" s="25"/>
      <c r="N3" s="25"/>
      <c r="O3" s="20" t="s">
        <v>56</v>
      </c>
      <c r="P3" s="20" t="s">
        <v>982</v>
      </c>
      <c r="Q3" s="20" t="s">
        <v>983</v>
      </c>
      <c r="R3" s="20" t="s">
        <v>984</v>
      </c>
      <c r="S3" s="20" t="s">
        <v>982</v>
      </c>
      <c r="T3" s="20" t="s">
        <v>985</v>
      </c>
      <c r="U3" s="22" t="s">
        <v>88</v>
      </c>
      <c r="V3" s="33" t="s">
        <v>986</v>
      </c>
      <c r="W3" s="39"/>
      <c r="X3" s="26"/>
      <c r="Y3" s="33" t="s">
        <v>357</v>
      </c>
    </row>
    <row r="4" spans="1:27" ht="15.05">
      <c r="A4" s="271">
        <v>42022</v>
      </c>
      <c r="B4" s="42" t="s">
        <v>71</v>
      </c>
      <c r="C4" s="43" t="s">
        <v>43</v>
      </c>
      <c r="D4" s="43" t="s">
        <v>46</v>
      </c>
      <c r="E4" s="44" t="s">
        <v>987</v>
      </c>
      <c r="F4" s="45" t="str">
        <f t="shared" si="0"/>
        <v/>
      </c>
      <c r="G4" s="43" t="s">
        <v>46</v>
      </c>
      <c r="H4" s="43" t="s">
        <v>40</v>
      </c>
      <c r="I4" s="53"/>
      <c r="J4" s="49" t="str">
        <f>HYPERLINK("https://drive.google.com/a/elstempe.org/?tab=mo#folders/0B4o9FS6Fg-3eTVlrZGpkY2h6TjA","Service notes")</f>
        <v>Service notes</v>
      </c>
      <c r="K4" s="51"/>
      <c r="L4" s="43" t="s">
        <v>266</v>
      </c>
      <c r="M4" s="51"/>
      <c r="N4" s="51"/>
      <c r="O4" s="43" t="s">
        <v>84</v>
      </c>
      <c r="P4" s="43" t="s">
        <v>988</v>
      </c>
      <c r="Q4" s="43" t="s">
        <v>989</v>
      </c>
      <c r="R4" s="43" t="s">
        <v>988</v>
      </c>
      <c r="S4" s="43" t="s">
        <v>990</v>
      </c>
      <c r="T4" s="43" t="s">
        <v>991</v>
      </c>
      <c r="U4" s="44">
        <v>67</v>
      </c>
      <c r="V4" s="47" t="s">
        <v>992</v>
      </c>
      <c r="W4" s="39"/>
      <c r="X4" s="53"/>
      <c r="Y4" s="47" t="s">
        <v>357</v>
      </c>
    </row>
    <row r="5" spans="1:27" ht="15.05">
      <c r="A5" s="41">
        <f t="shared" ref="A5:A8" si="1">A4+7</f>
        <v>42029</v>
      </c>
      <c r="B5" s="51" t="s">
        <v>93</v>
      </c>
      <c r="C5" s="27" t="s">
        <v>993</v>
      </c>
      <c r="D5" s="27" t="s">
        <v>40</v>
      </c>
      <c r="E5" s="44" t="s">
        <v>994</v>
      </c>
      <c r="F5" s="44" t="str">
        <f t="shared" si="0"/>
        <v>X</v>
      </c>
      <c r="G5" s="43" t="s">
        <v>46</v>
      </c>
      <c r="H5" s="43" t="s">
        <v>40</v>
      </c>
      <c r="I5" s="53"/>
      <c r="J5" s="43" t="s">
        <v>995</v>
      </c>
      <c r="K5" s="51"/>
      <c r="L5" s="43" t="s">
        <v>266</v>
      </c>
      <c r="M5" s="51"/>
      <c r="N5" s="51"/>
      <c r="O5" s="43" t="s">
        <v>99</v>
      </c>
      <c r="P5" s="43" t="s">
        <v>996</v>
      </c>
      <c r="Q5" s="43" t="s">
        <v>730</v>
      </c>
      <c r="R5" s="43" t="s">
        <v>997</v>
      </c>
      <c r="S5" s="43" t="s">
        <v>998</v>
      </c>
      <c r="T5" s="43" t="s">
        <v>996</v>
      </c>
      <c r="U5" s="44">
        <v>62</v>
      </c>
      <c r="V5" s="47" t="s">
        <v>999</v>
      </c>
      <c r="W5" s="39"/>
      <c r="X5" s="53"/>
      <c r="Y5" s="47" t="s">
        <v>357</v>
      </c>
    </row>
    <row r="6" spans="1:27" ht="15.05">
      <c r="A6" s="41">
        <f t="shared" si="1"/>
        <v>42036</v>
      </c>
      <c r="B6" s="51" t="s">
        <v>107</v>
      </c>
      <c r="C6" s="43" t="s">
        <v>46</v>
      </c>
      <c r="D6" s="43" t="s">
        <v>43</v>
      </c>
      <c r="E6" s="44" t="s">
        <v>64</v>
      </c>
      <c r="F6" s="45" t="str">
        <f t="shared" si="0"/>
        <v/>
      </c>
      <c r="G6" s="43" t="s">
        <v>1000</v>
      </c>
      <c r="H6" s="43" t="s">
        <v>40</v>
      </c>
      <c r="I6" s="47"/>
      <c r="J6" s="49" t="str">
        <f>HYPERLINK("https://drive.google.com/a/elstempe.org/?tab=wo#folders/0B4o9FS6Fg-3eTVlrZGpkY2h6TjA","Service Notes")</f>
        <v>Service Notes</v>
      </c>
      <c r="K6" s="51"/>
      <c r="L6" s="43" t="s">
        <v>1001</v>
      </c>
      <c r="M6" s="51"/>
      <c r="N6" s="51"/>
      <c r="O6" s="43" t="s">
        <v>111</v>
      </c>
      <c r="P6" s="43" t="s">
        <v>112</v>
      </c>
      <c r="Q6" s="43" t="s">
        <v>1002</v>
      </c>
      <c r="R6" s="43" t="s">
        <v>1003</v>
      </c>
      <c r="S6" s="43" t="s">
        <v>1004</v>
      </c>
      <c r="T6" s="43" t="s">
        <v>112</v>
      </c>
      <c r="U6" s="44" t="s">
        <v>1005</v>
      </c>
      <c r="V6" s="47" t="s">
        <v>1006</v>
      </c>
      <c r="W6" s="34"/>
      <c r="X6" s="53"/>
      <c r="Y6" s="47" t="s">
        <v>168</v>
      </c>
    </row>
    <row r="7" spans="1:27" ht="15.05">
      <c r="A7" s="41">
        <f t="shared" si="1"/>
        <v>42043</v>
      </c>
      <c r="B7" s="51" t="s">
        <v>140</v>
      </c>
      <c r="C7" s="43" t="s">
        <v>1007</v>
      </c>
      <c r="D7" s="43" t="s">
        <v>46</v>
      </c>
      <c r="E7" s="44" t="s">
        <v>521</v>
      </c>
      <c r="F7" s="44" t="str">
        <f t="shared" si="0"/>
        <v>X</v>
      </c>
      <c r="G7" s="43" t="s">
        <v>1000</v>
      </c>
      <c r="H7" s="43" t="s">
        <v>46</v>
      </c>
      <c r="I7" s="47"/>
      <c r="J7" s="49" t="str">
        <f>HYPERLINK("https://drive.google.com/a/elstempe.org/?tab=wo#folders/0B4o9FS6Fg-3ea0RlRkhhb1JhZzg","Service notes")</f>
        <v>Service notes</v>
      </c>
      <c r="K7" s="51"/>
      <c r="L7" s="43" t="s">
        <v>1008</v>
      </c>
      <c r="M7" s="51"/>
      <c r="N7" s="51"/>
      <c r="O7" s="43" t="s">
        <v>146</v>
      </c>
      <c r="P7" s="43" t="s">
        <v>1009</v>
      </c>
      <c r="Q7" s="43" t="s">
        <v>1010</v>
      </c>
      <c r="R7" s="43" t="s">
        <v>1011</v>
      </c>
      <c r="S7" s="43" t="s">
        <v>1012</v>
      </c>
      <c r="T7" s="43" t="s">
        <v>1013</v>
      </c>
      <c r="U7" s="44" t="s">
        <v>1014</v>
      </c>
      <c r="V7" s="47" t="s">
        <v>1015</v>
      </c>
      <c r="W7" s="34"/>
      <c r="X7" s="53"/>
      <c r="Y7" s="47" t="s">
        <v>168</v>
      </c>
    </row>
    <row r="8" spans="1:27" ht="45.1">
      <c r="A8" s="37">
        <f t="shared" si="1"/>
        <v>42050</v>
      </c>
      <c r="B8" s="25" t="s">
        <v>136</v>
      </c>
      <c r="C8" s="20" t="s">
        <v>40</v>
      </c>
      <c r="D8" s="20" t="s">
        <v>43</v>
      </c>
      <c r="E8" s="22" t="s">
        <v>44</v>
      </c>
      <c r="F8" s="23" t="str">
        <f t="shared" si="0"/>
        <v/>
      </c>
      <c r="G8" s="20" t="s">
        <v>1000</v>
      </c>
      <c r="H8" s="20" t="s">
        <v>46</v>
      </c>
      <c r="I8" s="26"/>
      <c r="J8" s="28" t="str">
        <f>HYPERLINK("https://drive.google.com/a/elstempe.org/?tab=wo#folders/0B4o9FS6Fg-3eQ0ZMZWxFX2Q3X3c","Service notes")</f>
        <v>Service notes</v>
      </c>
      <c r="K8" s="25"/>
      <c r="L8" s="20" t="s">
        <v>1008</v>
      </c>
      <c r="M8" s="25"/>
      <c r="N8" s="25"/>
      <c r="O8" s="20" t="s">
        <v>154</v>
      </c>
      <c r="P8" s="20" t="s">
        <v>1016</v>
      </c>
      <c r="Q8" s="20" t="s">
        <v>1017</v>
      </c>
      <c r="R8" s="20" t="s">
        <v>1018</v>
      </c>
      <c r="S8" s="20" t="s">
        <v>1019</v>
      </c>
      <c r="T8" s="20" t="s">
        <v>1016</v>
      </c>
      <c r="U8" s="22" t="s">
        <v>150</v>
      </c>
      <c r="V8" s="33" t="s">
        <v>1020</v>
      </c>
      <c r="W8" s="34"/>
      <c r="X8" s="26"/>
      <c r="Y8" s="33" t="s">
        <v>168</v>
      </c>
      <c r="Z8" s="158"/>
      <c r="AA8" s="158"/>
    </row>
    <row r="9" spans="1:27" ht="15.05">
      <c r="A9" s="63">
        <f>A8+3</f>
        <v>42053</v>
      </c>
      <c r="B9" s="64" t="s">
        <v>153</v>
      </c>
      <c r="C9" s="64" t="s">
        <v>43</v>
      </c>
      <c r="D9" s="64" t="s">
        <v>43</v>
      </c>
      <c r="E9" s="65" t="s">
        <v>64</v>
      </c>
      <c r="F9" s="65" t="s">
        <v>167</v>
      </c>
      <c r="G9" s="66"/>
      <c r="H9" s="64"/>
      <c r="I9" s="67"/>
      <c r="J9" s="28" t="str">
        <f>HYPERLINK("https://drive.google.com/a/elstempe.org/?tab=wo#folders/0B4o9FS6Fg-3eTVlrZGpkY2h6TjA","Service notes")</f>
        <v>Service notes</v>
      </c>
      <c r="K9" s="25"/>
      <c r="L9" s="20" t="s">
        <v>81</v>
      </c>
      <c r="M9" s="25"/>
      <c r="N9" s="25"/>
      <c r="O9" s="25"/>
      <c r="P9" s="20" t="s">
        <v>1021</v>
      </c>
      <c r="Q9" s="20" t="s">
        <v>1022</v>
      </c>
      <c r="R9" s="20" t="s">
        <v>1023</v>
      </c>
      <c r="S9" s="20" t="s">
        <v>1024</v>
      </c>
      <c r="T9" s="20" t="s">
        <v>158</v>
      </c>
      <c r="U9" s="22" t="s">
        <v>160</v>
      </c>
      <c r="V9" s="33" t="s">
        <v>1025</v>
      </c>
      <c r="W9" s="34"/>
      <c r="X9" s="26"/>
      <c r="Y9" s="33" t="s">
        <v>60</v>
      </c>
    </row>
    <row r="10" spans="1:27" ht="15.05">
      <c r="A10" s="68">
        <f>A8+7</f>
        <v>42057</v>
      </c>
      <c r="B10" s="69" t="s">
        <v>163</v>
      </c>
      <c r="C10" s="70" t="s">
        <v>43</v>
      </c>
      <c r="D10" s="70" t="s">
        <v>46</v>
      </c>
      <c r="E10" s="71" t="s">
        <v>44</v>
      </c>
      <c r="F10" s="71" t="str">
        <f>IF(OR(INT(DAY(A10)/7)+1=2,INT(DAY(A10)/7)+1=4,INT(DAY(A10)/7)+1=5),"X","")</f>
        <v>X</v>
      </c>
      <c r="G10" s="70" t="s">
        <v>1000</v>
      </c>
      <c r="H10" s="70" t="s">
        <v>46</v>
      </c>
      <c r="I10" s="73"/>
      <c r="J10" s="74" t="str">
        <f>HYPERLINK("https://drive.google.com/a/elstempe.org/?tab=wo#folders/0B4o9FS6Fg-3eZFN6T19WVW0xRGs","Service notes")</f>
        <v>Service notes</v>
      </c>
      <c r="K10" s="69"/>
      <c r="L10" s="70" t="s">
        <v>81</v>
      </c>
      <c r="M10" s="69"/>
      <c r="N10" s="69"/>
      <c r="O10" s="70" t="s">
        <v>177</v>
      </c>
      <c r="P10" s="70" t="s">
        <v>1026</v>
      </c>
      <c r="Q10" s="70" t="s">
        <v>1027</v>
      </c>
      <c r="R10" s="70" t="s">
        <v>1026</v>
      </c>
      <c r="S10" s="70" t="s">
        <v>1028</v>
      </c>
      <c r="T10" s="70" t="s">
        <v>1029</v>
      </c>
      <c r="U10" s="71">
        <v>6</v>
      </c>
      <c r="V10" s="75" t="s">
        <v>1030</v>
      </c>
      <c r="W10" s="34"/>
      <c r="X10" s="73"/>
      <c r="Y10" s="75" t="s">
        <v>168</v>
      </c>
    </row>
    <row r="11" spans="1:27" ht="15.05">
      <c r="A11" s="68">
        <f>A10+3</f>
        <v>42060</v>
      </c>
      <c r="B11" s="70" t="s">
        <v>187</v>
      </c>
      <c r="C11" s="70" t="s">
        <v>63</v>
      </c>
      <c r="D11" s="70" t="s">
        <v>63</v>
      </c>
      <c r="E11" s="71" t="s">
        <v>44</v>
      </c>
      <c r="F11" s="78"/>
      <c r="G11" s="70"/>
      <c r="H11" s="70"/>
      <c r="I11" s="73"/>
      <c r="J11" s="74" t="str">
        <f>HYPERLINK("https://drive.google.com/a/elstempe.org/?tab=wo#folders/0B4o9FS6Fg-3eTVlrZGpkY2h6TjA","Service notes")</f>
        <v>Service notes</v>
      </c>
      <c r="K11" s="69"/>
      <c r="L11" s="70" t="s">
        <v>1031</v>
      </c>
      <c r="M11" s="69"/>
      <c r="N11" s="69"/>
      <c r="O11" s="69"/>
      <c r="P11" s="70" t="s">
        <v>1032</v>
      </c>
      <c r="Q11" s="70" t="s">
        <v>1033</v>
      </c>
      <c r="R11" s="70" t="s">
        <v>1034</v>
      </c>
      <c r="S11" s="70"/>
      <c r="T11" s="70"/>
      <c r="U11" s="71">
        <v>73</v>
      </c>
      <c r="V11" s="75" t="s">
        <v>1035</v>
      </c>
      <c r="W11" s="34"/>
      <c r="X11" s="73"/>
      <c r="Y11" s="75" t="s">
        <v>60</v>
      </c>
    </row>
    <row r="12" spans="1:27" ht="15.05">
      <c r="A12" s="68">
        <f>A10+7</f>
        <v>42064</v>
      </c>
      <c r="B12" s="69" t="s">
        <v>197</v>
      </c>
      <c r="C12" s="70" t="s">
        <v>1036</v>
      </c>
      <c r="D12" s="70" t="s">
        <v>63</v>
      </c>
      <c r="E12" s="71" t="s">
        <v>1037</v>
      </c>
      <c r="F12" s="78" t="str">
        <f>IF(OR(INT(DAY(A12)/7)+1=2,INT(DAY(A12)/7)+1=4,INT(DAY(A12)/7)+1=5),"X","")</f>
        <v/>
      </c>
      <c r="G12" s="70" t="s">
        <v>1042</v>
      </c>
      <c r="H12" s="70" t="s">
        <v>46</v>
      </c>
      <c r="I12" s="73"/>
      <c r="J12" s="70" t="s">
        <v>1043</v>
      </c>
      <c r="K12" s="69"/>
      <c r="L12" s="272" t="s">
        <v>1044</v>
      </c>
      <c r="M12" s="69"/>
      <c r="N12" s="69"/>
      <c r="O12" s="69"/>
      <c r="P12" s="70" t="s">
        <v>1045</v>
      </c>
      <c r="Q12" s="69"/>
      <c r="R12" s="70" t="s">
        <v>1046</v>
      </c>
      <c r="S12" s="70" t="s">
        <v>1045</v>
      </c>
      <c r="T12" s="70" t="s">
        <v>1047</v>
      </c>
      <c r="U12" s="71">
        <v>73</v>
      </c>
      <c r="V12" s="75" t="s">
        <v>1048</v>
      </c>
      <c r="W12" s="34"/>
      <c r="X12" s="73"/>
      <c r="Y12" s="75" t="s">
        <v>1037</v>
      </c>
    </row>
    <row r="13" spans="1:27" ht="45.1">
      <c r="A13" s="68">
        <f>A12+3</f>
        <v>42067</v>
      </c>
      <c r="B13" s="70" t="s">
        <v>211</v>
      </c>
      <c r="C13" s="70" t="s">
        <v>373</v>
      </c>
      <c r="D13" s="70" t="s">
        <v>46</v>
      </c>
      <c r="E13" s="71" t="s">
        <v>1049</v>
      </c>
      <c r="F13" s="71"/>
      <c r="G13" s="70"/>
      <c r="H13" s="70"/>
      <c r="I13" s="273"/>
      <c r="J13" s="89"/>
      <c r="K13" s="69"/>
      <c r="L13" s="70" t="s">
        <v>1031</v>
      </c>
      <c r="M13" s="69"/>
      <c r="N13" s="69"/>
      <c r="O13" s="69"/>
      <c r="P13" s="70" t="s">
        <v>1051</v>
      </c>
      <c r="Q13" s="70" t="s">
        <v>1052</v>
      </c>
      <c r="R13" s="70" t="s">
        <v>1053</v>
      </c>
      <c r="S13" s="70"/>
      <c r="T13" s="70"/>
      <c r="U13" s="71">
        <v>116</v>
      </c>
      <c r="V13" s="75" t="s">
        <v>1054</v>
      </c>
      <c r="W13" s="34"/>
      <c r="X13" s="86" t="s">
        <v>1055</v>
      </c>
      <c r="Y13" s="75" t="s">
        <v>60</v>
      </c>
    </row>
    <row r="14" spans="1:27" ht="15.05">
      <c r="A14" s="68">
        <f>A12+7</f>
        <v>42071</v>
      </c>
      <c r="B14" s="69" t="s">
        <v>220</v>
      </c>
      <c r="C14" s="70" t="s">
        <v>40</v>
      </c>
      <c r="D14" s="70" t="s">
        <v>43</v>
      </c>
      <c r="E14" s="71" t="s">
        <v>521</v>
      </c>
      <c r="F14" s="71" t="str">
        <f>IF(OR(INT(DAY(A14)/7)+1=2,INT(DAY(A14)/7)+1=4,INT(DAY(A14)/7)+1=5),"X","")</f>
        <v>X</v>
      </c>
      <c r="G14" s="70" t="s">
        <v>1042</v>
      </c>
      <c r="H14" s="70" t="s">
        <v>46</v>
      </c>
      <c r="I14" s="73"/>
      <c r="J14" s="74" t="str">
        <f>HYPERLINK("https://drive.google.com/a/elstempe.org/?tab=wo#folders/0B4o9FS6Fg-3eYXRiNEZONnIzazg","Service notes")</f>
        <v>Service notes</v>
      </c>
      <c r="K14" s="69"/>
      <c r="L14" s="70" t="s">
        <v>81</v>
      </c>
      <c r="M14" s="69"/>
      <c r="N14" s="69"/>
      <c r="O14" s="70" t="s">
        <v>224</v>
      </c>
      <c r="P14" s="70" t="s">
        <v>1056</v>
      </c>
      <c r="Q14" s="70" t="s">
        <v>1057</v>
      </c>
      <c r="R14" s="70" t="s">
        <v>1058</v>
      </c>
      <c r="S14" s="70" t="s">
        <v>1059</v>
      </c>
      <c r="T14" s="70" t="s">
        <v>1056</v>
      </c>
      <c r="U14" s="71" t="s">
        <v>116</v>
      </c>
      <c r="V14" s="75" t="s">
        <v>1060</v>
      </c>
      <c r="W14" s="34"/>
      <c r="X14" s="73"/>
      <c r="Y14" s="75" t="s">
        <v>1062</v>
      </c>
    </row>
    <row r="15" spans="1:27" ht="15.05">
      <c r="A15" s="68">
        <f>A14+3</f>
        <v>42074</v>
      </c>
      <c r="B15" s="70" t="s">
        <v>232</v>
      </c>
      <c r="C15" s="70" t="s">
        <v>276</v>
      </c>
      <c r="D15" s="70" t="s">
        <v>46</v>
      </c>
      <c r="E15" s="71" t="s">
        <v>64</v>
      </c>
      <c r="F15" s="71"/>
      <c r="G15" s="69"/>
      <c r="H15" s="70"/>
      <c r="I15" s="73"/>
      <c r="J15" s="74" t="str">
        <f t="shared" ref="J15:J17" si="2">HYPERLINK("https://drive.google.com/a/elstempe.org/?tab=wo#folders/0B4o9FS6Fg-3eTVlrZGpkY2h6TjA","Service notes")</f>
        <v>Service notes</v>
      </c>
      <c r="K15" s="69"/>
      <c r="L15" s="70" t="s">
        <v>1031</v>
      </c>
      <c r="M15" s="69"/>
      <c r="N15" s="69"/>
      <c r="O15" s="69"/>
      <c r="P15" s="70" t="s">
        <v>1063</v>
      </c>
      <c r="Q15" s="70" t="s">
        <v>1064</v>
      </c>
      <c r="R15" s="70" t="s">
        <v>1065</v>
      </c>
      <c r="S15" s="70"/>
      <c r="T15" s="70"/>
      <c r="U15" s="71" t="s">
        <v>1066</v>
      </c>
      <c r="V15" s="75" t="s">
        <v>1067</v>
      </c>
      <c r="W15" s="34"/>
      <c r="X15" s="73"/>
      <c r="Y15" s="75" t="s">
        <v>60</v>
      </c>
    </row>
    <row r="16" spans="1:27" ht="15.05">
      <c r="A16" s="68">
        <f>A14+7</f>
        <v>42078</v>
      </c>
      <c r="B16" s="69" t="s">
        <v>238</v>
      </c>
      <c r="C16" s="70" t="s">
        <v>43</v>
      </c>
      <c r="D16" s="70" t="s">
        <v>46</v>
      </c>
      <c r="E16" s="71" t="s">
        <v>1068</v>
      </c>
      <c r="F16" s="71" t="str">
        <f>IF(OR(INT(DAY(A16)/7)+1=2,INT(DAY(A16)/7)+1=4,INT(DAY(A16)/7)+1=5),"X","")</f>
        <v/>
      </c>
      <c r="G16" s="70" t="s">
        <v>1042</v>
      </c>
      <c r="H16" s="70" t="s">
        <v>46</v>
      </c>
      <c r="I16" s="75"/>
      <c r="J16" s="74" t="str">
        <f t="shared" si="2"/>
        <v>Service notes</v>
      </c>
      <c r="K16" s="69"/>
      <c r="L16" s="70" t="s">
        <v>81</v>
      </c>
      <c r="M16" s="69"/>
      <c r="N16" s="69"/>
      <c r="O16" s="70" t="s">
        <v>243</v>
      </c>
      <c r="P16" s="70" t="s">
        <v>1069</v>
      </c>
      <c r="Q16" s="70" t="s">
        <v>1070</v>
      </c>
      <c r="R16" s="70" t="s">
        <v>1069</v>
      </c>
      <c r="S16" s="70" t="s">
        <v>1071</v>
      </c>
      <c r="T16" s="70" t="s">
        <v>1072</v>
      </c>
      <c r="U16" s="71" t="s">
        <v>1073</v>
      </c>
      <c r="V16" s="75" t="s">
        <v>1074</v>
      </c>
      <c r="W16" s="34"/>
      <c r="X16" s="75" t="s">
        <v>152</v>
      </c>
      <c r="Y16" s="75" t="s">
        <v>1062</v>
      </c>
    </row>
    <row r="17" spans="1:25" ht="15.05">
      <c r="A17" s="68">
        <f>A16+3</f>
        <v>42081</v>
      </c>
      <c r="B17" s="70" t="s">
        <v>250</v>
      </c>
      <c r="C17" s="70" t="s">
        <v>46</v>
      </c>
      <c r="D17" s="70" t="s">
        <v>43</v>
      </c>
      <c r="E17" s="71" t="s">
        <v>64</v>
      </c>
      <c r="F17" s="78"/>
      <c r="G17" s="69"/>
      <c r="H17" s="70"/>
      <c r="I17" s="75"/>
      <c r="J17" s="74" t="str">
        <f t="shared" si="2"/>
        <v>Service notes</v>
      </c>
      <c r="K17" s="69"/>
      <c r="L17" s="70" t="s">
        <v>1075</v>
      </c>
      <c r="M17" s="69"/>
      <c r="N17" s="69"/>
      <c r="O17" s="69"/>
      <c r="P17" s="70" t="s">
        <v>1076</v>
      </c>
      <c r="Q17" s="69"/>
      <c r="R17" s="70" t="s">
        <v>1077</v>
      </c>
      <c r="S17" s="70"/>
      <c r="T17" s="70"/>
      <c r="U17" s="71">
        <v>6</v>
      </c>
      <c r="V17" s="75" t="s">
        <v>1078</v>
      </c>
      <c r="W17" s="34"/>
      <c r="X17" s="86" t="s">
        <v>1079</v>
      </c>
      <c r="Y17" s="75" t="s">
        <v>60</v>
      </c>
    </row>
    <row r="18" spans="1:25" ht="45.1">
      <c r="A18" s="68">
        <f>A16+7</f>
        <v>42085</v>
      </c>
      <c r="B18" s="69" t="s">
        <v>262</v>
      </c>
      <c r="C18" s="70" t="s">
        <v>63</v>
      </c>
      <c r="D18" s="70" t="s">
        <v>40</v>
      </c>
      <c r="E18" s="71" t="s">
        <v>64</v>
      </c>
      <c r="F18" s="78" t="str">
        <f>IF(OR(INT(DAY(A18)/7)+1=2,INT(DAY(A18)/7)+1=4,INT(DAY(A18)/7)+1=5),"X","")</f>
        <v>X</v>
      </c>
      <c r="G18" s="70" t="s">
        <v>1042</v>
      </c>
      <c r="H18" s="70" t="s">
        <v>46</v>
      </c>
      <c r="I18" s="73"/>
      <c r="J18" s="74" t="str">
        <f>HYPERLINK("https://drive.google.com/drive/#folders/0B4o9FS6Fg-3eTlJxSTN0cGxRVUk/0B4o9FS6Fg-3eTVlrZGpkY2h6TjA","Service notes")</f>
        <v>Service notes</v>
      </c>
      <c r="K18" s="69"/>
      <c r="L18" s="70" t="s">
        <v>81</v>
      </c>
      <c r="M18" s="69"/>
      <c r="N18" s="69"/>
      <c r="O18" s="70" t="s">
        <v>269</v>
      </c>
      <c r="P18" s="70" t="s">
        <v>1082</v>
      </c>
      <c r="Q18" s="70" t="s">
        <v>1083</v>
      </c>
      <c r="R18" s="70" t="s">
        <v>1084</v>
      </c>
      <c r="S18" s="70" t="s">
        <v>1082</v>
      </c>
      <c r="T18" s="70" t="s">
        <v>1085</v>
      </c>
      <c r="U18" s="71" t="s">
        <v>1086</v>
      </c>
      <c r="V18" s="75" t="s">
        <v>1087</v>
      </c>
      <c r="W18" s="34"/>
      <c r="X18" s="75" t="s">
        <v>1088</v>
      </c>
      <c r="Y18" s="75" t="s">
        <v>1062</v>
      </c>
    </row>
    <row r="19" spans="1:25" ht="15.05">
      <c r="A19" s="68">
        <f>A18+3</f>
        <v>42088</v>
      </c>
      <c r="B19" s="70" t="s">
        <v>275</v>
      </c>
      <c r="C19" s="70" t="s">
        <v>40</v>
      </c>
      <c r="D19" s="272" t="s">
        <v>1089</v>
      </c>
      <c r="E19" s="71" t="s">
        <v>44</v>
      </c>
      <c r="F19" s="71"/>
      <c r="G19" s="69"/>
      <c r="H19" s="70"/>
      <c r="I19" s="75"/>
      <c r="J19" s="70" t="s">
        <v>1090</v>
      </c>
      <c r="K19" s="69"/>
      <c r="L19" s="70" t="s">
        <v>1075</v>
      </c>
      <c r="M19" s="69"/>
      <c r="N19" s="69"/>
      <c r="O19" s="69"/>
      <c r="P19" s="70" t="s">
        <v>1091</v>
      </c>
      <c r="Q19" s="70" t="s">
        <v>1092</v>
      </c>
      <c r="R19" s="70" t="s">
        <v>1093</v>
      </c>
      <c r="S19" s="70"/>
      <c r="T19" s="70"/>
      <c r="U19" s="71" t="s">
        <v>1094</v>
      </c>
      <c r="V19" s="75" t="s">
        <v>1095</v>
      </c>
      <c r="W19" s="34"/>
      <c r="X19" s="73"/>
      <c r="Y19" s="75" t="s">
        <v>60</v>
      </c>
    </row>
    <row r="20" spans="1:25" ht="15.05">
      <c r="A20" s="68">
        <f>A18+7</f>
        <v>42092</v>
      </c>
      <c r="B20" s="69" t="s">
        <v>393</v>
      </c>
      <c r="C20" s="70" t="s">
        <v>40</v>
      </c>
      <c r="D20" s="70" t="s">
        <v>43</v>
      </c>
      <c r="E20" s="71" t="s">
        <v>44</v>
      </c>
      <c r="F20" s="71" t="str">
        <f>IF(OR(INT(DAY(A20)/7)+1=2,INT(DAY(A20)/7)+1=4,INT(DAY(A20)/7)+1=5),"X","")</f>
        <v>X</v>
      </c>
      <c r="G20" s="70" t="s">
        <v>1042</v>
      </c>
      <c r="H20" s="70" t="s">
        <v>46</v>
      </c>
      <c r="I20" s="75"/>
      <c r="J20" s="74" t="str">
        <f>HYPERLINK("https://drive.google.com/drive/#folders/0B4o9FS6Fg-3eTVlrZGpkY2h6TjA","Service notes")</f>
        <v>Service notes</v>
      </c>
      <c r="K20" s="69"/>
      <c r="L20" s="70" t="s">
        <v>287</v>
      </c>
      <c r="M20" s="69"/>
      <c r="N20" s="69"/>
      <c r="O20" s="70" t="s">
        <v>288</v>
      </c>
      <c r="P20" s="70" t="s">
        <v>1103</v>
      </c>
      <c r="Q20" s="70" t="s">
        <v>1104</v>
      </c>
      <c r="R20" s="70" t="s">
        <v>1105</v>
      </c>
      <c r="S20" s="70" t="s">
        <v>1106</v>
      </c>
      <c r="T20" s="70" t="s">
        <v>1103</v>
      </c>
      <c r="U20" s="71">
        <v>24</v>
      </c>
      <c r="V20" s="75" t="s">
        <v>1107</v>
      </c>
      <c r="W20" s="34"/>
      <c r="X20" s="75" t="s">
        <v>1108</v>
      </c>
      <c r="Y20" s="75" t="s">
        <v>1062</v>
      </c>
    </row>
    <row r="21" spans="1:25" ht="15.05">
      <c r="A21" s="91">
        <f>A20+4</f>
        <v>42096</v>
      </c>
      <c r="B21" s="69" t="s">
        <v>297</v>
      </c>
      <c r="C21" s="70" t="s">
        <v>43</v>
      </c>
      <c r="D21" s="272" t="s">
        <v>1089</v>
      </c>
      <c r="E21" s="71" t="s">
        <v>44</v>
      </c>
      <c r="F21" s="71" t="s">
        <v>167</v>
      </c>
      <c r="G21" s="110"/>
      <c r="H21" s="110"/>
      <c r="I21" s="73"/>
      <c r="J21" s="74" t="str">
        <f>HYPERLINK("https://drive.google.com/drive/#folders/0B4o9FS6Fg-3eTlJxSTN0cGxRVUk/0B4o9FS6Fg-3eTVlrZGpkY2h6TjA/0B4o9FS6Fg-3efmZydWNJRW53b05icGdVRWZVejVkOFExc2JiMXlQZm9XV2xJRzNVbTJJb0k","Service notes")</f>
        <v>Service notes</v>
      </c>
      <c r="K21" s="69"/>
      <c r="L21" s="70" t="s">
        <v>298</v>
      </c>
      <c r="M21" s="69"/>
      <c r="N21" s="69"/>
      <c r="O21" s="69"/>
      <c r="P21" s="70" t="s">
        <v>1116</v>
      </c>
      <c r="Q21" s="70" t="s">
        <v>1117</v>
      </c>
      <c r="R21" s="70" t="s">
        <v>302</v>
      </c>
      <c r="S21" s="70" t="s">
        <v>1118</v>
      </c>
      <c r="T21" s="70" t="s">
        <v>1119</v>
      </c>
      <c r="U21" s="71" t="s">
        <v>303</v>
      </c>
      <c r="V21" s="75" t="s">
        <v>1120</v>
      </c>
      <c r="W21" s="34"/>
      <c r="X21" s="75" t="s">
        <v>324</v>
      </c>
      <c r="Y21" s="73"/>
    </row>
    <row r="22" spans="1:25" ht="45.1">
      <c r="A22" s="95">
        <f>A21+1</f>
        <v>42097</v>
      </c>
      <c r="B22" s="66" t="s">
        <v>423</v>
      </c>
      <c r="C22" s="64" t="s">
        <v>40</v>
      </c>
      <c r="D22" s="281" t="s">
        <v>1089</v>
      </c>
      <c r="E22" s="65" t="s">
        <v>64</v>
      </c>
      <c r="F22" s="65" t="s">
        <v>167</v>
      </c>
      <c r="G22" s="110"/>
      <c r="H22" s="110"/>
      <c r="I22" s="96"/>
      <c r="J22" s="121"/>
      <c r="K22" s="121"/>
      <c r="L22" s="122" t="s">
        <v>1127</v>
      </c>
      <c r="M22" s="121"/>
      <c r="N22" s="121"/>
      <c r="O22" s="121"/>
      <c r="P22" s="122" t="s">
        <v>280</v>
      </c>
      <c r="Q22" s="122" t="s">
        <v>1129</v>
      </c>
      <c r="R22" s="122" t="s">
        <v>314</v>
      </c>
      <c r="S22" s="122"/>
      <c r="T22" s="122" t="s">
        <v>312</v>
      </c>
      <c r="U22" s="282">
        <v>22</v>
      </c>
      <c r="V22" s="125" t="s">
        <v>1136</v>
      </c>
      <c r="W22" s="34"/>
      <c r="X22" s="125" t="s">
        <v>165</v>
      </c>
      <c r="Y22" s="33" t="s">
        <v>1138</v>
      </c>
    </row>
    <row r="23" spans="1:25" ht="30.05">
      <c r="A23" s="17">
        <f>A22+2</f>
        <v>42099</v>
      </c>
      <c r="B23" s="25" t="s">
        <v>326</v>
      </c>
      <c r="C23" s="20" t="s">
        <v>46</v>
      </c>
      <c r="D23" s="235" t="s">
        <v>1089</v>
      </c>
      <c r="E23" s="22" t="s">
        <v>64</v>
      </c>
      <c r="F23" s="23" t="str">
        <f t="shared" ref="F23:F30" si="3">IF(OR(INT(DAY(A23)/7)+1=2,INT(DAY(A23)/7)+1=4,INT(DAY(A23)/7)+1=5),"X","")</f>
        <v/>
      </c>
      <c r="G23" s="110"/>
      <c r="H23" s="110"/>
      <c r="I23" s="33"/>
      <c r="J23" s="25"/>
      <c r="K23" s="25"/>
      <c r="L23" s="20" t="s">
        <v>328</v>
      </c>
      <c r="M23" s="25"/>
      <c r="N23" s="25"/>
      <c r="O23" s="25"/>
      <c r="P23" s="20" t="s">
        <v>1156</v>
      </c>
      <c r="Q23" s="20" t="s">
        <v>1158</v>
      </c>
      <c r="R23" s="20" t="s">
        <v>245</v>
      </c>
      <c r="S23" s="20" t="s">
        <v>1160</v>
      </c>
      <c r="T23" s="20" t="s">
        <v>1162</v>
      </c>
      <c r="U23" s="22">
        <v>30</v>
      </c>
      <c r="V23" s="33" t="s">
        <v>1164</v>
      </c>
      <c r="W23" s="34"/>
      <c r="X23" s="33" t="s">
        <v>1165</v>
      </c>
      <c r="Y23" s="33" t="s">
        <v>1138</v>
      </c>
    </row>
    <row r="24" spans="1:25" ht="30.05">
      <c r="A24" s="37">
        <f>A22+2</f>
        <v>42099</v>
      </c>
      <c r="B24" s="25" t="s">
        <v>334</v>
      </c>
      <c r="C24" s="20" t="s">
        <v>43</v>
      </c>
      <c r="D24" s="20" t="s">
        <v>46</v>
      </c>
      <c r="E24" s="22" t="s">
        <v>44</v>
      </c>
      <c r="F24" s="23" t="str">
        <f t="shared" si="3"/>
        <v/>
      </c>
      <c r="G24" s="110"/>
      <c r="H24" s="110"/>
      <c r="I24" s="33"/>
      <c r="J24" s="28" t="str">
        <f>HYPERLINK("https://drive.google.com/drive/#folders/0B4o9FS6Fg-3eTlJxSTN0cGxRVUk/0B4o9FS6Fg-3eTVlrZGpkY2h6TjA/0B4o9FS6Fg-3efkQtSWxGYnY2RXBuaWM2eHpMQ0J1bGpnMUtNN2QwRzJMZTlpTkxvN0lFODA","Service notes")</f>
        <v>Service notes</v>
      </c>
      <c r="K24" s="25"/>
      <c r="L24" s="20" t="s">
        <v>337</v>
      </c>
      <c r="M24" s="25"/>
      <c r="N24" s="25"/>
      <c r="O24" s="20" t="s">
        <v>338</v>
      </c>
      <c r="P24" s="20" t="s">
        <v>1179</v>
      </c>
      <c r="Q24" s="20" t="s">
        <v>1180</v>
      </c>
      <c r="R24" s="20" t="s">
        <v>1181</v>
      </c>
      <c r="S24" s="20" t="s">
        <v>1182</v>
      </c>
      <c r="T24" s="20" t="s">
        <v>1183</v>
      </c>
      <c r="U24" s="22">
        <v>118</v>
      </c>
      <c r="V24" s="33" t="s">
        <v>1184</v>
      </c>
      <c r="W24" s="34"/>
      <c r="X24" s="33" t="s">
        <v>152</v>
      </c>
      <c r="Y24" s="33" t="s">
        <v>1138</v>
      </c>
    </row>
    <row r="25" spans="1:25" ht="15.05">
      <c r="A25" s="37">
        <f>A24+7</f>
        <v>42106</v>
      </c>
      <c r="B25" s="25" t="s">
        <v>343</v>
      </c>
      <c r="C25" s="20" t="s">
        <v>63</v>
      </c>
      <c r="D25" s="27" t="s">
        <v>43</v>
      </c>
      <c r="E25" s="22" t="s">
        <v>64</v>
      </c>
      <c r="F25" s="23" t="str">
        <f t="shared" si="3"/>
        <v>X</v>
      </c>
      <c r="G25" s="20" t="s">
        <v>46</v>
      </c>
      <c r="H25" s="20" t="s">
        <v>43</v>
      </c>
      <c r="I25" s="33"/>
      <c r="J25" s="28" t="str">
        <f>HYPERLINK("https://drive.google.com/drive/folders/0B4o9FS6Fg-3eTlJxSTN0cGxRVUk/0B4o9FS6Fg-3eTVlrZGpkY2h6TjA/0B4o9FS6Fg-3efnlwUTRWMjNPZFpOX3VvcWZBSmEwaGFsbmVDTDgwN1UyYmNadjEwakdRYzg","Service notes")</f>
        <v>Service notes</v>
      </c>
      <c r="K25" s="25"/>
      <c r="L25" s="20" t="s">
        <v>348</v>
      </c>
      <c r="M25" s="25"/>
      <c r="N25" s="25"/>
      <c r="O25" s="25"/>
      <c r="P25" s="20" t="s">
        <v>1194</v>
      </c>
      <c r="Q25" s="20" t="s">
        <v>1195</v>
      </c>
      <c r="R25" s="20" t="s">
        <v>1196</v>
      </c>
      <c r="S25" s="20" t="s">
        <v>1194</v>
      </c>
      <c r="T25" s="20" t="s">
        <v>1199</v>
      </c>
      <c r="U25" s="22">
        <v>16</v>
      </c>
      <c r="V25" s="33" t="s">
        <v>1201</v>
      </c>
      <c r="W25" s="34"/>
      <c r="X25" s="33" t="s">
        <v>1203</v>
      </c>
      <c r="Y25" s="33" t="s">
        <v>1138</v>
      </c>
    </row>
    <row r="26" spans="1:25" ht="30.05">
      <c r="A26" s="37">
        <f t="shared" ref="A26:A30" si="4">A25+7</f>
        <v>42113</v>
      </c>
      <c r="B26" s="25" t="s">
        <v>359</v>
      </c>
      <c r="C26" s="20" t="s">
        <v>46</v>
      </c>
      <c r="D26" s="20" t="s">
        <v>43</v>
      </c>
      <c r="E26" s="22" t="s">
        <v>44</v>
      </c>
      <c r="F26" s="23" t="str">
        <f t="shared" si="3"/>
        <v/>
      </c>
      <c r="G26" s="20" t="s">
        <v>40</v>
      </c>
      <c r="H26" s="20" t="s">
        <v>43</v>
      </c>
      <c r="I26" s="26"/>
      <c r="J26" s="28" t="str">
        <f>HYPERLINK("https://drive.google.com/drive/folders/0B4o9FS6Fg-3eTlJxSTN0cGxRVUk/0B4o9FS6Fg-3eTVlrZGpkY2h6TjA/0B4o9FS6Fg-3efkJZbjNGRmZfWG5teHU5aUc5a0czZFJwaklxdDJhaFdDRnRKN0ZRMXZEZmM","Service notes")</f>
        <v>Service notes</v>
      </c>
      <c r="K26" s="25"/>
      <c r="L26" s="20" t="s">
        <v>348</v>
      </c>
      <c r="M26" s="25"/>
      <c r="N26" s="25"/>
      <c r="O26" s="25"/>
      <c r="P26" s="20" t="s">
        <v>1209</v>
      </c>
      <c r="Q26" s="20" t="s">
        <v>1210</v>
      </c>
      <c r="R26" s="20" t="s">
        <v>1209</v>
      </c>
      <c r="S26" s="20" t="s">
        <v>1211</v>
      </c>
      <c r="T26" s="20" t="s">
        <v>1212</v>
      </c>
      <c r="U26" s="22">
        <v>118</v>
      </c>
      <c r="V26" s="33" t="s">
        <v>1213</v>
      </c>
      <c r="W26" s="34"/>
      <c r="X26" s="33" t="s">
        <v>885</v>
      </c>
      <c r="Y26" s="33" t="s">
        <v>1138</v>
      </c>
    </row>
    <row r="27" spans="1:25" ht="15.05">
      <c r="A27" s="37">
        <f t="shared" si="4"/>
        <v>42120</v>
      </c>
      <c r="B27" s="25" t="s">
        <v>369</v>
      </c>
      <c r="C27" s="20" t="s">
        <v>40</v>
      </c>
      <c r="D27" s="20" t="s">
        <v>46</v>
      </c>
      <c r="E27" s="22" t="s">
        <v>64</v>
      </c>
      <c r="F27" s="23" t="str">
        <f t="shared" si="3"/>
        <v>X</v>
      </c>
      <c r="G27" s="20" t="s">
        <v>46</v>
      </c>
      <c r="H27" s="20" t="s">
        <v>43</v>
      </c>
      <c r="I27" s="26"/>
      <c r="J27" s="28" t="str">
        <f t="shared" ref="J27:J29" si="5">HYPERLINK("https://drive.google.com/drive/folders/0B4o9FS6Fg-3eTlJxSTN0cGxRVUk/0B4o9FS6Fg-3eTVlrZGpkY2h6TjA","Service notes")</f>
        <v>Service notes</v>
      </c>
      <c r="K27" s="25"/>
      <c r="L27" s="20" t="s">
        <v>348</v>
      </c>
      <c r="M27" s="25"/>
      <c r="N27" s="25"/>
      <c r="O27" s="25"/>
      <c r="P27" s="20" t="s">
        <v>1217</v>
      </c>
      <c r="Q27" s="20" t="s">
        <v>1218</v>
      </c>
      <c r="R27" s="20" t="s">
        <v>1221</v>
      </c>
      <c r="S27" s="20" t="s">
        <v>1222</v>
      </c>
      <c r="T27" s="20" t="s">
        <v>1217</v>
      </c>
      <c r="U27" s="22" t="s">
        <v>377</v>
      </c>
      <c r="V27" s="33" t="s">
        <v>1225</v>
      </c>
      <c r="W27" s="34"/>
      <c r="X27" s="33" t="s">
        <v>1226</v>
      </c>
      <c r="Y27" s="33" t="s">
        <v>1138</v>
      </c>
    </row>
    <row r="28" spans="1:25" ht="30.05">
      <c r="A28" s="37">
        <f t="shared" si="4"/>
        <v>42127</v>
      </c>
      <c r="B28" s="20" t="s">
        <v>382</v>
      </c>
      <c r="C28" s="20" t="s">
        <v>46</v>
      </c>
      <c r="D28" s="20" t="s">
        <v>43</v>
      </c>
      <c r="E28" s="22" t="s">
        <v>90</v>
      </c>
      <c r="F28" s="23" t="str">
        <f t="shared" si="3"/>
        <v/>
      </c>
      <c r="G28" s="20" t="s">
        <v>40</v>
      </c>
      <c r="H28" s="20" t="s">
        <v>43</v>
      </c>
      <c r="I28" s="33"/>
      <c r="J28" s="28" t="str">
        <f t="shared" si="5"/>
        <v>Service notes</v>
      </c>
      <c r="K28" s="25"/>
      <c r="L28" s="20" t="s">
        <v>383</v>
      </c>
      <c r="M28" s="25"/>
      <c r="N28" s="25"/>
      <c r="O28" s="25"/>
      <c r="P28" s="20" t="s">
        <v>1235</v>
      </c>
      <c r="Q28" s="20" t="s">
        <v>1236</v>
      </c>
      <c r="R28" s="20" t="s">
        <v>1237</v>
      </c>
      <c r="S28" s="20" t="s">
        <v>1235</v>
      </c>
      <c r="T28" s="20" t="s">
        <v>1238</v>
      </c>
      <c r="U28" s="22" t="s">
        <v>365</v>
      </c>
      <c r="V28" s="107" t="s">
        <v>1239</v>
      </c>
      <c r="W28" s="34"/>
      <c r="X28" s="26"/>
      <c r="Y28" s="33" t="s">
        <v>1242</v>
      </c>
    </row>
    <row r="29" spans="1:25" ht="15.85" customHeight="1">
      <c r="A29" s="37">
        <f t="shared" si="4"/>
        <v>42134</v>
      </c>
      <c r="B29" s="25" t="s">
        <v>394</v>
      </c>
      <c r="C29" s="20" t="s">
        <v>63</v>
      </c>
      <c r="D29" s="20" t="s">
        <v>46</v>
      </c>
      <c r="E29" s="22" t="s">
        <v>64</v>
      </c>
      <c r="F29" s="23" t="str">
        <f t="shared" si="3"/>
        <v>X</v>
      </c>
      <c r="G29" s="20" t="s">
        <v>46</v>
      </c>
      <c r="H29" s="20" t="s">
        <v>43</v>
      </c>
      <c r="I29" s="33"/>
      <c r="J29" s="28" t="str">
        <f t="shared" si="5"/>
        <v>Service notes</v>
      </c>
      <c r="K29" s="25"/>
      <c r="L29" s="20" t="s">
        <v>348</v>
      </c>
      <c r="M29" s="25"/>
      <c r="N29" s="20"/>
      <c r="O29" s="25"/>
      <c r="P29" s="20" t="s">
        <v>1009</v>
      </c>
      <c r="Q29" s="108" t="s">
        <v>1247</v>
      </c>
      <c r="R29" s="20" t="s">
        <v>1248</v>
      </c>
      <c r="S29" s="20" t="s">
        <v>1249</v>
      </c>
      <c r="T29" s="20" t="s">
        <v>1009</v>
      </c>
      <c r="U29" s="22" t="s">
        <v>1250</v>
      </c>
      <c r="V29" s="33" t="s">
        <v>1251</v>
      </c>
      <c r="W29" s="34"/>
      <c r="X29" s="33" t="s">
        <v>1252</v>
      </c>
      <c r="Y29" s="33" t="s">
        <v>1242</v>
      </c>
    </row>
    <row r="30" spans="1:25" ht="45.1">
      <c r="A30" s="37">
        <f t="shared" si="4"/>
        <v>42141</v>
      </c>
      <c r="B30" s="25" t="s">
        <v>403</v>
      </c>
      <c r="C30" s="20" t="s">
        <v>46</v>
      </c>
      <c r="D30" s="20" t="s">
        <v>43</v>
      </c>
      <c r="E30" s="22" t="s">
        <v>44</v>
      </c>
      <c r="F30" s="23" t="str">
        <f t="shared" si="3"/>
        <v/>
      </c>
      <c r="G30" s="27" t="s">
        <v>1253</v>
      </c>
      <c r="H30" s="27"/>
      <c r="I30" s="33"/>
      <c r="J30" s="28" t="str">
        <f>HYPERLINK("https://drive.google.com/drive/folders/0B4o9FS6Fg-3eTlJxSTN0cGxRVUk/0B4o9FS6Fg-3eTVlrZGpkY2h6TjA?tab=wo","Service notes")</f>
        <v>Service notes</v>
      </c>
      <c r="K30" s="25"/>
      <c r="L30" s="20" t="s">
        <v>383</v>
      </c>
      <c r="M30" s="25"/>
      <c r="N30" s="25"/>
      <c r="O30" s="25"/>
      <c r="P30" s="20" t="s">
        <v>1260</v>
      </c>
      <c r="Q30" s="20" t="s">
        <v>1261</v>
      </c>
      <c r="R30" s="20" t="s">
        <v>1262</v>
      </c>
      <c r="S30" s="20" t="s">
        <v>1263</v>
      </c>
      <c r="T30" s="20" t="s">
        <v>1260</v>
      </c>
      <c r="U30" s="22" t="s">
        <v>316</v>
      </c>
      <c r="V30" s="107" t="s">
        <v>1264</v>
      </c>
      <c r="W30" s="34"/>
      <c r="X30" s="33" t="s">
        <v>165</v>
      </c>
      <c r="Y30" s="33" t="s">
        <v>1242</v>
      </c>
    </row>
    <row r="31" spans="1:25" ht="15.05">
      <c r="A31" s="7" t="s">
        <v>452</v>
      </c>
      <c r="B31" s="4" t="s">
        <v>453</v>
      </c>
      <c r="C31" s="4" t="s">
        <v>5</v>
      </c>
      <c r="D31" s="4" t="s">
        <v>6</v>
      </c>
      <c r="E31" s="8"/>
      <c r="F31" s="8" t="s">
        <v>10</v>
      </c>
      <c r="G31" s="4" t="s">
        <v>13</v>
      </c>
      <c r="H31" s="4" t="s">
        <v>12</v>
      </c>
      <c r="I31" s="9"/>
      <c r="J31" s="7"/>
      <c r="K31" s="7" t="s">
        <v>16</v>
      </c>
      <c r="L31" s="7" t="s">
        <v>17</v>
      </c>
      <c r="M31" s="7" t="s">
        <v>18</v>
      </c>
      <c r="N31" s="7" t="s">
        <v>19</v>
      </c>
      <c r="O31" s="7" t="s">
        <v>20</v>
      </c>
      <c r="P31" s="7" t="s">
        <v>22</v>
      </c>
      <c r="Q31" s="7" t="s">
        <v>23</v>
      </c>
      <c r="R31" s="7" t="s">
        <v>24</v>
      </c>
      <c r="S31" s="7" t="s">
        <v>25</v>
      </c>
      <c r="T31" s="7" t="s">
        <v>26</v>
      </c>
      <c r="U31" s="8" t="s">
        <v>30</v>
      </c>
      <c r="V31" s="11" t="s">
        <v>456</v>
      </c>
      <c r="W31" s="11"/>
      <c r="X31" s="11" t="s">
        <v>1038</v>
      </c>
      <c r="Y31" s="11"/>
    </row>
    <row r="32" spans="1:25" ht="15.05">
      <c r="A32" s="112">
        <f>A30+7</f>
        <v>42148</v>
      </c>
      <c r="B32" s="113" t="s">
        <v>418</v>
      </c>
      <c r="C32" s="114" t="s">
        <v>40</v>
      </c>
      <c r="D32" s="114" t="s">
        <v>43</v>
      </c>
      <c r="E32" s="115" t="s">
        <v>64</v>
      </c>
      <c r="F32" s="115" t="str">
        <f t="shared" ref="F32:F33" si="6">IF(OR(INT(DAY(A32)/7)+1=2,INT(DAY(A32)/7)+1=4,INT(DAY(A32)/7)+1=5),"X","")</f>
        <v>X</v>
      </c>
      <c r="G32" s="27" t="s">
        <v>1283</v>
      </c>
      <c r="H32" s="27"/>
      <c r="I32" s="117"/>
      <c r="J32" s="119" t="str">
        <f t="shared" ref="J32:J35" si="7">HYPERLINK("https://drive.google.com/drive/folders/0B4o9FS6Fg-3eTlJxSTN0cGxRVUk/0B4o9FS6Fg-3eTVlrZGpkY2h6TjA","Service notes")</f>
        <v>Service notes</v>
      </c>
      <c r="K32" s="113"/>
      <c r="L32" s="114" t="s">
        <v>443</v>
      </c>
      <c r="M32" s="113"/>
      <c r="N32" s="113"/>
      <c r="O32" s="113"/>
      <c r="P32" s="114" t="s">
        <v>427</v>
      </c>
      <c r="Q32" s="114" t="s">
        <v>1292</v>
      </c>
      <c r="R32" s="114" t="s">
        <v>1293</v>
      </c>
      <c r="S32" s="114" t="s">
        <v>427</v>
      </c>
      <c r="T32" s="114" t="s">
        <v>1294</v>
      </c>
      <c r="U32" s="115" t="s">
        <v>433</v>
      </c>
      <c r="V32" s="116" t="s">
        <v>1295</v>
      </c>
      <c r="W32" s="34"/>
      <c r="X32" s="116" t="s">
        <v>152</v>
      </c>
      <c r="Y32" s="116" t="s">
        <v>1242</v>
      </c>
    </row>
    <row r="33" spans="1:27" ht="15.05">
      <c r="A33" s="37">
        <f>A32+7</f>
        <v>42155</v>
      </c>
      <c r="B33" s="25" t="s">
        <v>439</v>
      </c>
      <c r="C33" s="20" t="s">
        <v>43</v>
      </c>
      <c r="D33" s="20" t="s">
        <v>40</v>
      </c>
      <c r="E33" s="22" t="s">
        <v>64</v>
      </c>
      <c r="F33" s="23" t="str">
        <f t="shared" si="6"/>
        <v>X</v>
      </c>
      <c r="G33" s="25"/>
      <c r="H33" s="20" t="s">
        <v>40</v>
      </c>
      <c r="I33" s="26"/>
      <c r="J33" s="28" t="str">
        <f t="shared" si="7"/>
        <v>Service notes</v>
      </c>
      <c r="K33" s="25"/>
      <c r="L33" s="20" t="s">
        <v>443</v>
      </c>
      <c r="M33" s="25"/>
      <c r="N33" s="25"/>
      <c r="O33" s="25"/>
      <c r="P33" s="20" t="s">
        <v>1307</v>
      </c>
      <c r="Q33" s="20" t="s">
        <v>1308</v>
      </c>
      <c r="R33" s="20" t="s">
        <v>1309</v>
      </c>
      <c r="S33" s="20" t="s">
        <v>1307</v>
      </c>
      <c r="T33" s="20" t="s">
        <v>1310</v>
      </c>
      <c r="U33" s="22" t="s">
        <v>449</v>
      </c>
      <c r="V33" s="33" t="s">
        <v>1313</v>
      </c>
      <c r="W33" s="34"/>
      <c r="X33" s="26"/>
      <c r="Y33" s="33" t="s">
        <v>1242</v>
      </c>
      <c r="Z33" s="158"/>
      <c r="AA33" s="158"/>
    </row>
    <row r="34" spans="1:27" ht="15.05">
      <c r="A34" s="41">
        <f t="shared" ref="A34:A46" si="8">A33+7</f>
        <v>42162</v>
      </c>
      <c r="B34" s="43" t="s">
        <v>568</v>
      </c>
      <c r="C34" s="43" t="s">
        <v>46</v>
      </c>
      <c r="D34" s="43" t="s">
        <v>40</v>
      </c>
      <c r="E34" s="44" t="s">
        <v>64</v>
      </c>
      <c r="F34" s="44" t="str">
        <f t="shared" ref="F34:F37" si="9">IF(OR(INT(DAY(A34)/7)=2,INT(DAY(A34)/7)=4,INT(DAY(A34)/7)=5),"X","")</f>
        <v/>
      </c>
      <c r="G34" s="51"/>
      <c r="H34" s="43" t="s">
        <v>40</v>
      </c>
      <c r="I34" s="47"/>
      <c r="J34" s="49" t="str">
        <f t="shared" si="7"/>
        <v>Service notes</v>
      </c>
      <c r="K34" s="51"/>
      <c r="L34" s="43" t="s">
        <v>1317</v>
      </c>
      <c r="M34" s="51"/>
      <c r="N34" s="51"/>
      <c r="O34" s="51"/>
      <c r="P34" s="43" t="s">
        <v>1318</v>
      </c>
      <c r="Q34" s="43" t="s">
        <v>1319</v>
      </c>
      <c r="R34" s="43" t="s">
        <v>1320</v>
      </c>
      <c r="S34" s="43" t="s">
        <v>1321</v>
      </c>
      <c r="T34" s="43" t="s">
        <v>1322</v>
      </c>
      <c r="U34" s="44" t="s">
        <v>1323</v>
      </c>
      <c r="V34" s="47" t="s">
        <v>1324</v>
      </c>
      <c r="W34" s="34"/>
      <c r="X34" s="53"/>
      <c r="Y34" s="47" t="s">
        <v>168</v>
      </c>
    </row>
    <row r="35" spans="1:27" ht="15.05">
      <c r="A35" s="41">
        <f t="shared" si="8"/>
        <v>42169</v>
      </c>
      <c r="B35" s="43" t="s">
        <v>592</v>
      </c>
      <c r="C35" s="43" t="s">
        <v>63</v>
      </c>
      <c r="D35" s="43" t="s">
        <v>46</v>
      </c>
      <c r="E35" s="44" t="s">
        <v>64</v>
      </c>
      <c r="F35" s="44" t="str">
        <f t="shared" si="9"/>
        <v>X</v>
      </c>
      <c r="G35" s="51"/>
      <c r="H35" s="166" t="s">
        <v>63</v>
      </c>
      <c r="I35" s="47"/>
      <c r="J35" s="49" t="str">
        <f t="shared" si="7"/>
        <v>Service notes</v>
      </c>
      <c r="K35" s="51"/>
      <c r="L35" s="43" t="s">
        <v>1171</v>
      </c>
      <c r="M35" s="51"/>
      <c r="N35" s="51"/>
      <c r="O35" s="51"/>
      <c r="P35" s="43" t="s">
        <v>1325</v>
      </c>
      <c r="Q35" s="43" t="s">
        <v>1326</v>
      </c>
      <c r="R35" s="43" t="s">
        <v>1327</v>
      </c>
      <c r="S35" s="43" t="s">
        <v>1328</v>
      </c>
      <c r="T35" s="43" t="s">
        <v>1329</v>
      </c>
      <c r="U35" s="44" t="s">
        <v>599</v>
      </c>
      <c r="V35" s="47" t="s">
        <v>1330</v>
      </c>
      <c r="W35" s="34"/>
      <c r="X35" s="53"/>
      <c r="Y35" s="47" t="s">
        <v>168</v>
      </c>
    </row>
    <row r="36" spans="1:27" ht="15.05">
      <c r="A36" s="41">
        <f t="shared" si="8"/>
        <v>42176</v>
      </c>
      <c r="B36" s="43" t="s">
        <v>604</v>
      </c>
      <c r="C36" s="43" t="s">
        <v>40</v>
      </c>
      <c r="D36" s="43"/>
      <c r="E36" s="44" t="s">
        <v>44</v>
      </c>
      <c r="F36" s="44" t="str">
        <f t="shared" si="9"/>
        <v/>
      </c>
      <c r="G36" s="51"/>
      <c r="H36" s="43" t="s">
        <v>40</v>
      </c>
      <c r="I36" s="47"/>
      <c r="J36" s="49" t="str">
        <f>HYPERLINK("https://drive.google.com/drive/folders/0B4o9FS6Fg-3eTlJxSTN0cGxRVUk/0B4o9FS6Fg-3eTVlrZGpkY2h6TjA/0B4o9FS6Fg-3efndYSDE3ZmhOeGZnc3B6UGtHR1dFOUdjVmlhMGxpeXFlM0Njd05rRWhoWkE","Service notes")</f>
        <v>Service notes</v>
      </c>
      <c r="K36" s="51"/>
      <c r="L36" s="43" t="s">
        <v>91</v>
      </c>
      <c r="M36" s="51"/>
      <c r="N36" s="51"/>
      <c r="O36" s="51"/>
      <c r="P36" s="43" t="s">
        <v>1331</v>
      </c>
      <c r="Q36" s="43" t="s">
        <v>1332</v>
      </c>
      <c r="R36" s="43" t="s">
        <v>1333</v>
      </c>
      <c r="S36" s="43" t="s">
        <v>1334</v>
      </c>
      <c r="T36" s="43" t="s">
        <v>1335</v>
      </c>
      <c r="U36" s="44" t="s">
        <v>1336</v>
      </c>
      <c r="V36" s="47" t="s">
        <v>1337</v>
      </c>
      <c r="W36" s="34"/>
      <c r="X36" s="53"/>
      <c r="Y36" s="47" t="s">
        <v>168</v>
      </c>
    </row>
    <row r="37" spans="1:27" ht="15.05">
      <c r="A37" s="41">
        <f t="shared" si="8"/>
        <v>42183</v>
      </c>
      <c r="B37" s="43" t="s">
        <v>612</v>
      </c>
      <c r="C37" s="43" t="s">
        <v>46</v>
      </c>
      <c r="D37" s="43"/>
      <c r="E37" s="44" t="s">
        <v>521</v>
      </c>
      <c r="F37" s="44" t="str">
        <f t="shared" si="9"/>
        <v>X</v>
      </c>
      <c r="G37" s="51"/>
      <c r="H37" s="43" t="s">
        <v>43</v>
      </c>
      <c r="I37" s="47"/>
      <c r="J37" s="49" t="str">
        <f t="shared" ref="J37:J38" si="10">HYPERLINK("https://drive.google.com/drive/folders/0B4o9FS6Fg-3eTlJxSTN0cGxRVUk/0B4o9FS6Fg-3eTVlrZGpkY2h6TjA","Service notes")</f>
        <v>Service notes</v>
      </c>
      <c r="K37" s="51"/>
      <c r="L37" s="43" t="s">
        <v>1171</v>
      </c>
      <c r="M37" s="51"/>
      <c r="N37" s="51"/>
      <c r="O37" s="51"/>
      <c r="P37" s="43" t="s">
        <v>1338</v>
      </c>
      <c r="Q37" s="43" t="s">
        <v>1339</v>
      </c>
      <c r="R37" s="43" t="s">
        <v>1340</v>
      </c>
      <c r="S37" s="43" t="s">
        <v>1341</v>
      </c>
      <c r="T37" s="43" t="s">
        <v>1342</v>
      </c>
      <c r="U37" s="44">
        <v>46</v>
      </c>
      <c r="V37" s="47" t="s">
        <v>1343</v>
      </c>
      <c r="W37" s="34"/>
      <c r="X37" s="53"/>
      <c r="Y37" s="47" t="s">
        <v>168</v>
      </c>
    </row>
    <row r="38" spans="1:27" ht="45.1">
      <c r="A38" s="41">
        <f t="shared" si="8"/>
        <v>42190</v>
      </c>
      <c r="B38" s="43" t="s">
        <v>619</v>
      </c>
      <c r="C38" s="43" t="s">
        <v>43</v>
      </c>
      <c r="D38" s="51"/>
      <c r="E38" s="44" t="s">
        <v>521</v>
      </c>
      <c r="F38" s="45" t="str">
        <f t="shared" ref="F38:F47" si="11">IF(OR(INT(DAY(A38)/7)+1=2,INT(DAY(A38)/7)+1=4,INT(DAY(A38)/7)+1=5),"X","")</f>
        <v/>
      </c>
      <c r="G38" s="51"/>
      <c r="H38" s="43" t="s">
        <v>40</v>
      </c>
      <c r="I38" s="47"/>
      <c r="J38" s="49" t="str">
        <f t="shared" si="10"/>
        <v>Service notes</v>
      </c>
      <c r="K38" s="51"/>
      <c r="L38" s="43" t="s">
        <v>91</v>
      </c>
      <c r="M38" s="51"/>
      <c r="N38" s="51"/>
      <c r="O38" s="51"/>
      <c r="P38" s="43" t="s">
        <v>1344</v>
      </c>
      <c r="Q38" s="43" t="s">
        <v>1345</v>
      </c>
      <c r="R38" s="43" t="s">
        <v>1346</v>
      </c>
      <c r="S38" s="43" t="s">
        <v>1347</v>
      </c>
      <c r="T38" s="43" t="s">
        <v>1348</v>
      </c>
      <c r="U38" s="44">
        <v>30</v>
      </c>
      <c r="V38" s="47" t="s">
        <v>1349</v>
      </c>
      <c r="W38" s="34"/>
      <c r="X38" s="53"/>
      <c r="Y38" s="47" t="s">
        <v>1138</v>
      </c>
    </row>
    <row r="39" spans="1:27" ht="30.05">
      <c r="A39" s="41">
        <f t="shared" si="8"/>
        <v>42197</v>
      </c>
      <c r="B39" s="43" t="s">
        <v>628</v>
      </c>
      <c r="C39" s="43" t="s">
        <v>40</v>
      </c>
      <c r="D39" s="43"/>
      <c r="E39" s="44" t="s">
        <v>64</v>
      </c>
      <c r="F39" s="44" t="str">
        <f t="shared" si="11"/>
        <v>X</v>
      </c>
      <c r="G39" s="51"/>
      <c r="H39" s="27" t="s">
        <v>1350</v>
      </c>
      <c r="I39" s="47"/>
      <c r="J39" s="49" t="str">
        <f>HYPERLINK("https://drive.google.com/drive/folders/0B4o9FS6Fg-3eTVlrZGpkY2h6TjA","Service notes")</f>
        <v>Service notes</v>
      </c>
      <c r="K39" s="51"/>
      <c r="L39" s="43" t="s">
        <v>81</v>
      </c>
      <c r="M39" s="51"/>
      <c r="N39" s="51"/>
      <c r="O39" s="51"/>
      <c r="P39" s="49" t="str">
        <f>HYPERLINK("https://www.biblegateway.com/passage/?search=2%20Corinthians%2012:1-10","2 Cor 12:1-10")</f>
        <v>2 Cor 12:1-10</v>
      </c>
      <c r="Q39" s="43" t="s">
        <v>1351</v>
      </c>
      <c r="R39" s="49" t="str">
        <f>HYPERLINK("https://www.biblegateway.com/passage/?search=Ezekiel%202:1-5","Ezekiel 2:1-5")</f>
        <v>Ezekiel 2:1-5</v>
      </c>
      <c r="S39" s="49" t="str">
        <f>HYPERLINK("https://www.biblegateway.com/passage/?search=2%20Corinthians%2012:7-10","2 Corinth 12:7-10")</f>
        <v>2 Corinth 12:7-10</v>
      </c>
      <c r="T39" s="49" t="str">
        <f>HYPERLINK("https://www.biblegateway.com/passage/?search=Mark+6:1-6","Mark 6:1-6")</f>
        <v>Mark 6:1-6</v>
      </c>
      <c r="U39" s="44" t="s">
        <v>1086</v>
      </c>
      <c r="V39" s="47" t="s">
        <v>1352</v>
      </c>
      <c r="W39" s="34"/>
      <c r="X39" s="53"/>
      <c r="Y39" s="47" t="s">
        <v>1138</v>
      </c>
    </row>
    <row r="40" spans="1:27" ht="15.05">
      <c r="A40" s="41">
        <f t="shared" si="8"/>
        <v>42204</v>
      </c>
      <c r="B40" s="43" t="s">
        <v>634</v>
      </c>
      <c r="C40" s="43" t="s">
        <v>43</v>
      </c>
      <c r="D40" s="43"/>
      <c r="E40" s="44" t="s">
        <v>44</v>
      </c>
      <c r="F40" s="44" t="str">
        <f t="shared" si="11"/>
        <v/>
      </c>
      <c r="G40" s="43"/>
      <c r="H40" s="43" t="s">
        <v>43</v>
      </c>
      <c r="I40" s="47"/>
      <c r="J40" s="49" t="str">
        <f>HYPERLINK("https://drive.google.com/drive/folders/0B4o9FS6Fg-3efmNUdjE3WVlMZEFOTGkxSXc1MVBKV0VWX2NDZFBvZ0tBSktJYTVKU1ZZc1E","Service notes")</f>
        <v>Service notes</v>
      </c>
      <c r="K40" s="51"/>
      <c r="L40" s="43" t="s">
        <v>1353</v>
      </c>
      <c r="M40" s="51"/>
      <c r="N40" s="51"/>
      <c r="O40" s="51"/>
      <c r="P40" s="49" t="str">
        <f>HYPERLINK("https://www.biblegateway.com/passage/?search=Amos+7:10-15","Amos 7:10-15")</f>
        <v>Amos 7:10-15</v>
      </c>
      <c r="Q40" s="43" t="s">
        <v>1354</v>
      </c>
      <c r="R40" s="49" t="str">
        <f>HYPERLINK("https://www.biblegateway.com/passage/?search=Amos+7:10-15","Amos 7:10-15")</f>
        <v>Amos 7:10-15</v>
      </c>
      <c r="S40" s="49" t="str">
        <f>HYPERLINK("https://www.biblegateway.com/passage/?search=Ephesians%201:3-14","Ephesians 1:3-14")</f>
        <v>Ephesians 1:3-14</v>
      </c>
      <c r="T40" s="49" t="str">
        <f>HYPERLINK("https://www.biblegateway.com/passage/?search=Mark%206:7-13","Mark 6:7-13")</f>
        <v>Mark 6:7-13</v>
      </c>
      <c r="U40" s="44">
        <v>78</v>
      </c>
      <c r="V40" s="47" t="s">
        <v>1355</v>
      </c>
      <c r="W40" s="34"/>
      <c r="X40" s="53"/>
      <c r="Y40" s="47" t="s">
        <v>1138</v>
      </c>
    </row>
    <row r="41" spans="1:27" ht="15.05">
      <c r="A41" s="41">
        <f t="shared" si="8"/>
        <v>42211</v>
      </c>
      <c r="B41" s="43" t="s">
        <v>639</v>
      </c>
      <c r="C41" s="43" t="s">
        <v>1356</v>
      </c>
      <c r="D41" s="43" t="s">
        <v>43</v>
      </c>
      <c r="E41" s="44" t="s">
        <v>90</v>
      </c>
      <c r="F41" s="44" t="str">
        <f t="shared" si="11"/>
        <v>X</v>
      </c>
      <c r="G41" s="43"/>
      <c r="H41" s="43" t="s">
        <v>43</v>
      </c>
      <c r="I41" s="47"/>
      <c r="J41" s="49" t="str">
        <f>HYPERLINK("https://drive.google.com/drive/folders/0B4o9FS6Fg-3efnJMNDVXSGJ0N0tveHZPSzQ5em4yV0JGdmVWUVNPWE5oaTJVTWI4eUMwX0E","Service notes")</f>
        <v>Service notes</v>
      </c>
      <c r="K41" s="43"/>
      <c r="L41" s="43" t="s">
        <v>1171</v>
      </c>
      <c r="M41" s="43"/>
      <c r="N41" s="51"/>
      <c r="O41" s="43" t="s">
        <v>550</v>
      </c>
      <c r="P41" s="49" t="str">
        <f>HYPERLINK("https://www.biblegateway.com/passage/?search=Jeremiah%2023:1-6","Jeremiah 23:1-6")</f>
        <v>Jeremiah 23:1-6</v>
      </c>
      <c r="Q41" s="43" t="s">
        <v>1357</v>
      </c>
      <c r="R41" s="49" t="str">
        <f>HYPERLINK("https://www.biblegateway.com/passage/?search=Jeremiah%2023:1-6","Jeremiah 23:1-6")</f>
        <v>Jeremiah 23:1-6</v>
      </c>
      <c r="S41" s="49" t="str">
        <f>HYPERLINK("https://www.biblegateway.com/passage/?search=Ephesians+2%3A13-22","Ephesians 2:13-22")</f>
        <v>Ephesians 2:13-22</v>
      </c>
      <c r="T41" s="49" t="str">
        <f>HYPERLINK("https://www.biblegateway.com/passage/?search=Mark%206:30-34","Mark 6:30-34")</f>
        <v>Mark 6:30-34</v>
      </c>
      <c r="U41" s="44" t="s">
        <v>377</v>
      </c>
      <c r="V41" s="47" t="s">
        <v>1359</v>
      </c>
      <c r="W41" s="34"/>
      <c r="X41" s="53"/>
      <c r="Y41" s="47" t="s">
        <v>1138</v>
      </c>
    </row>
    <row r="42" spans="1:27" ht="45.1">
      <c r="A42" s="41">
        <f t="shared" si="8"/>
        <v>42218</v>
      </c>
      <c r="B42" s="43" t="s">
        <v>644</v>
      </c>
      <c r="C42" s="43" t="s">
        <v>63</v>
      </c>
      <c r="D42" s="43" t="s">
        <v>46</v>
      </c>
      <c r="E42" s="44" t="s">
        <v>64</v>
      </c>
      <c r="F42" s="44" t="str">
        <f t="shared" si="11"/>
        <v/>
      </c>
      <c r="G42" s="43"/>
      <c r="H42" s="43" t="s">
        <v>40</v>
      </c>
      <c r="I42" s="288"/>
      <c r="J42" s="49" t="str">
        <f>HYPERLINK("https://drive.google.com/drive/folders/0B4o9FS6Fg-3eTVlrZGpkY2h6TjA","Service notes")</f>
        <v>Service notes</v>
      </c>
      <c r="K42" s="51"/>
      <c r="L42" s="156" t="s">
        <v>1360</v>
      </c>
      <c r="M42" s="51"/>
      <c r="N42" s="51"/>
      <c r="O42" s="43" t="s">
        <v>176</v>
      </c>
      <c r="P42" s="49" t="str">
        <f>HYPERLINK("https://www.biblegateway.com/passage/?search=Exodus+24%3A3-11&amp;version=ESV","Exodus 24:3-11")</f>
        <v>Exodus 24:3-11</v>
      </c>
      <c r="Q42" s="43" t="s">
        <v>1361</v>
      </c>
      <c r="R42" s="49" t="str">
        <f>HYPERLINK("https://www.biblegateway.com/passage/?search=Exodus+24%3A3-11&amp;version=ESV","Exodus 24:3-11")</f>
        <v>Exodus 24:3-11</v>
      </c>
      <c r="S42" s="43" t="s">
        <v>648</v>
      </c>
      <c r="T42" s="49" t="str">
        <f>HYPERLINK("https://www.biblegateway.com/passage/?search=John%206:1-15","John 6:1-15")</f>
        <v>John 6:1-15</v>
      </c>
      <c r="U42" s="44" t="s">
        <v>1362</v>
      </c>
      <c r="V42" s="47" t="s">
        <v>1363</v>
      </c>
      <c r="W42" s="39"/>
      <c r="X42" s="53"/>
      <c r="Y42" s="47" t="s">
        <v>1062</v>
      </c>
    </row>
    <row r="43" spans="1:27" ht="15.05">
      <c r="A43" s="41">
        <f t="shared" si="8"/>
        <v>42225</v>
      </c>
      <c r="B43" s="43" t="s">
        <v>651</v>
      </c>
      <c r="C43" s="43" t="s">
        <v>40</v>
      </c>
      <c r="D43" s="43" t="s">
        <v>46</v>
      </c>
      <c r="E43" s="44" t="s">
        <v>1365</v>
      </c>
      <c r="F43" s="44" t="str">
        <f t="shared" si="11"/>
        <v>X</v>
      </c>
      <c r="G43" s="44"/>
      <c r="H43" s="43" t="s">
        <v>40</v>
      </c>
      <c r="I43" s="47"/>
      <c r="J43" s="49" t="str">
        <f>HYPERLINK("https://drive.google.com/drive/folders/0B4o9FS6Fg-3efm12YU5Mc1p6cXVkX0dTMF9QcUMtdEZJaWZqTGJEZnh6aEZjUk5yRlhBTGs","Service notes")</f>
        <v>Service notes</v>
      </c>
      <c r="K43" s="59"/>
      <c r="L43" s="43" t="s">
        <v>348</v>
      </c>
      <c r="M43" s="51"/>
      <c r="N43" s="51"/>
      <c r="O43" s="43" t="s">
        <v>591</v>
      </c>
      <c r="P43" s="49" t="str">
        <f>HYPERLINK("https://www.biblegateway.com/passage/?search=Exodus+16:2-15","Exodus 16:2-15")</f>
        <v>Exodus 16:2-15</v>
      </c>
      <c r="Q43" s="43" t="s">
        <v>1366</v>
      </c>
      <c r="R43" s="49" t="str">
        <f>HYPERLINK("https://www.biblegateway.com/passage/?search=Exodus%2016:2-15","Exodus 16:2-15")</f>
        <v>Exodus 16:2-15</v>
      </c>
      <c r="S43" s="49" t="str">
        <f>HYPERLINK("https://www.biblegateway.com/passage/?search=Ephesians+4:17-24","Eph 4:17-24")</f>
        <v>Eph 4:17-24</v>
      </c>
      <c r="T43" s="49" t="str">
        <f>HYPERLINK("https://www.biblegateway.com/passage/?search=John%206:24-35","John 6:24-35")</f>
        <v>John 6:24-35</v>
      </c>
      <c r="U43" s="44" t="s">
        <v>390</v>
      </c>
      <c r="V43" s="47" t="s">
        <v>1367</v>
      </c>
      <c r="W43" s="61"/>
      <c r="X43" s="53"/>
      <c r="Y43" s="47" t="s">
        <v>1062</v>
      </c>
    </row>
    <row r="44" spans="1:27" ht="15.05">
      <c r="A44" s="41">
        <f t="shared" si="8"/>
        <v>42232</v>
      </c>
      <c r="B44" s="43" t="s">
        <v>659</v>
      </c>
      <c r="C44" s="43" t="s">
        <v>1368</v>
      </c>
      <c r="D44" s="43"/>
      <c r="E44" s="44" t="s">
        <v>44</v>
      </c>
      <c r="F44" s="44" t="str">
        <f t="shared" si="11"/>
        <v/>
      </c>
      <c r="G44" s="44"/>
      <c r="H44" s="166" t="s">
        <v>1369</v>
      </c>
      <c r="I44" s="47"/>
      <c r="J44" s="49" t="str">
        <f>HYPERLINK("https://drive.google.com/drive/folders/0B4o9FS6Fg-3eTVlrZGpkY2h6TjA","Service notes")</f>
        <v>Service notes</v>
      </c>
      <c r="K44" s="51"/>
      <c r="L44" s="43" t="s">
        <v>91</v>
      </c>
      <c r="M44" s="51"/>
      <c r="N44" s="51"/>
      <c r="O44" s="43" t="s">
        <v>605</v>
      </c>
      <c r="P44" s="49" t="str">
        <f>HYPERLINK("https://www.biblegateway.com/passage/?search=1%20Kings%2019:3-8","1 Kings 19:3-8")</f>
        <v>1 Kings 19:3-8</v>
      </c>
      <c r="Q44" s="51"/>
      <c r="R44" s="49" t="str">
        <f>HYPERLINK("https://www.biblegateway.com/passage/?search=1%20Kings%2019:3-8","1 Kings 19:3-8")</f>
        <v>1 Kings 19:3-8</v>
      </c>
      <c r="S44" s="49" t="str">
        <f>HYPERLINK("https://www.biblegateway.com/passage/?search=Ephesians%204:30-5:2","Eph 4: 30-5:2")</f>
        <v>Eph 4: 30-5:2</v>
      </c>
      <c r="T44" s="49" t="str">
        <f>HYPERLINK("https://www.biblegateway.com/passage/?search=John+6:41-51","John 6:41-51")</f>
        <v>John 6:41-51</v>
      </c>
      <c r="U44" s="44">
        <v>34</v>
      </c>
      <c r="V44" s="47" t="s">
        <v>1370</v>
      </c>
      <c r="W44" s="34"/>
      <c r="X44" s="53"/>
      <c r="Y44" s="47" t="s">
        <v>1062</v>
      </c>
    </row>
    <row r="45" spans="1:27" ht="30.05">
      <c r="A45" s="41">
        <f t="shared" si="8"/>
        <v>42239</v>
      </c>
      <c r="B45" s="43" t="s">
        <v>664</v>
      </c>
      <c r="C45" s="43" t="s">
        <v>46</v>
      </c>
      <c r="D45" s="43" t="s">
        <v>40</v>
      </c>
      <c r="E45" s="44" t="s">
        <v>44</v>
      </c>
      <c r="F45" s="44" t="str">
        <f t="shared" si="11"/>
        <v>X</v>
      </c>
      <c r="G45" s="44"/>
      <c r="H45" s="43" t="s">
        <v>40</v>
      </c>
      <c r="I45" s="47"/>
      <c r="J45" s="49" t="str">
        <f>HYPERLINK("https://drive.google.com/drive/folders/0B4o9FS6Fg-3efkd4M0piTUM4TmljR29kcHJyenRxa2tSV0k5VjFXVEJDZUtzOGRzOUs4Y1k","Service notes")</f>
        <v>Service notes</v>
      </c>
      <c r="K45" s="51"/>
      <c r="L45" s="43" t="s">
        <v>348</v>
      </c>
      <c r="M45" s="51"/>
      <c r="N45" s="51"/>
      <c r="O45" s="43" t="s">
        <v>617</v>
      </c>
      <c r="P45" s="43" t="s">
        <v>1371</v>
      </c>
      <c r="Q45" s="43" t="s">
        <v>1372</v>
      </c>
      <c r="R45" s="49" t="str">
        <f>HYPERLINK("https://www.biblegateway.com/passage/?search=Proverbs+9:1-6","Proverbs 9:1-6")</f>
        <v>Proverbs 9:1-6</v>
      </c>
      <c r="S45" s="49" t="str">
        <f>HYPERLINK("https://www.biblegateway.com/passage/?search=Ephesians%205:15-20","Eph 5:15-20")</f>
        <v>Eph 5:15-20</v>
      </c>
      <c r="T45" s="49" t="str">
        <f>HYPERLINK("https://www.biblegateway.com/passage/?search=John%206:51-58","John 6: 51-58")</f>
        <v>John 6: 51-58</v>
      </c>
      <c r="U45" s="44" t="s">
        <v>1373</v>
      </c>
      <c r="V45" s="47" t="s">
        <v>1374</v>
      </c>
      <c r="W45" s="34"/>
      <c r="X45" s="53"/>
      <c r="Y45" s="47" t="s">
        <v>1062</v>
      </c>
    </row>
    <row r="46" spans="1:27" ht="15.05">
      <c r="A46" s="41">
        <f t="shared" si="8"/>
        <v>42246</v>
      </c>
      <c r="B46" s="43" t="s">
        <v>670</v>
      </c>
      <c r="C46" s="43" t="s">
        <v>40</v>
      </c>
      <c r="D46" s="43" t="s">
        <v>43</v>
      </c>
      <c r="E46" s="44" t="s">
        <v>90</v>
      </c>
      <c r="F46" s="44" t="str">
        <f t="shared" si="11"/>
        <v>X</v>
      </c>
      <c r="G46" s="44"/>
      <c r="H46" s="43" t="s">
        <v>40</v>
      </c>
      <c r="I46" s="47"/>
      <c r="J46" s="49" t="str">
        <f t="shared" ref="J46:J47" si="12">HYPERLINK("https://drive.google.com/drive/folders/0B4o9FS6Fg-3eTVlrZGpkY2h6TjA","Service notes")</f>
        <v>Service notes</v>
      </c>
      <c r="K46" s="51"/>
      <c r="L46" s="43" t="s">
        <v>1171</v>
      </c>
      <c r="M46" s="51"/>
      <c r="N46" s="51"/>
      <c r="O46" s="43" t="s">
        <v>633</v>
      </c>
      <c r="P46" s="43" t="s">
        <v>1375</v>
      </c>
      <c r="Q46" s="43" t="s">
        <v>1376</v>
      </c>
      <c r="R46" s="49" t="str">
        <f>HYPERLINK("https://www.biblegateway.com/passage/?search=Joshua+24%3A1-2%2CJoshua+24%3A14-18&amp;version=NIV","Joshua 24:1,2a,14-18")</f>
        <v>Joshua 24:1,2a,14-18</v>
      </c>
      <c r="S46" s="49" t="str">
        <f>HYPERLINK("https://www.biblegateway.com/passage/?search=Ephesians%205:21-31","Eph 5:21-31")</f>
        <v>Eph 5:21-31</v>
      </c>
      <c r="T46" s="49" t="str">
        <f>HYPERLINK("https://www.biblegateway.com/passage/?search=John%206:60-69","John 6:60-69")</f>
        <v>John 6:60-69</v>
      </c>
      <c r="U46" s="44">
        <v>71</v>
      </c>
      <c r="V46" s="47" t="s">
        <v>1377</v>
      </c>
      <c r="W46" s="34"/>
      <c r="X46" s="53"/>
      <c r="Y46" s="47" t="s">
        <v>1062</v>
      </c>
    </row>
    <row r="47" spans="1:27" ht="15.05">
      <c r="A47" s="41">
        <f>A46+7</f>
        <v>42253</v>
      </c>
      <c r="B47" s="43" t="s">
        <v>676</v>
      </c>
      <c r="C47" s="43" t="s">
        <v>43</v>
      </c>
      <c r="D47" s="43" t="s">
        <v>46</v>
      </c>
      <c r="E47" s="44" t="s">
        <v>64</v>
      </c>
      <c r="F47" s="45" t="str">
        <f t="shared" si="11"/>
        <v/>
      </c>
      <c r="G47" s="27" t="s">
        <v>1378</v>
      </c>
      <c r="H47" s="43" t="s">
        <v>40</v>
      </c>
      <c r="I47" s="47"/>
      <c r="J47" s="49" t="str">
        <f t="shared" si="12"/>
        <v>Service notes</v>
      </c>
      <c r="K47" s="51"/>
      <c r="L47" s="43" t="s">
        <v>240</v>
      </c>
      <c r="M47" s="51"/>
      <c r="N47" s="51"/>
      <c r="O47" s="43" t="s">
        <v>654</v>
      </c>
      <c r="P47" s="43" t="s">
        <v>1380</v>
      </c>
      <c r="Q47" s="5" t="s">
        <v>1381</v>
      </c>
      <c r="R47" s="49" t="str">
        <f>HYPERLINK("https://www.biblegateway.com/passage/?search=Deuteronomy+4%3A1-2%2CDeuteronomy+4%3A6-8&amp;version=NIV","Deuteronomy 4:1-2;6-8")</f>
        <v>Deuteronomy 4:1-2;6-8</v>
      </c>
      <c r="S47" s="49" t="str">
        <f>HYPERLINK("https://www.biblegateway.com/passage/?search=Ephesians+6:10-20","Eph 6:10-20")</f>
        <v>Eph 6:10-20</v>
      </c>
      <c r="T47" s="49" t="str">
        <f>HYPERLINK("https://www.biblegateway.com/passage/?search=Mark+7%3A1-8%2CMark+7%3A14-15%2CMark+7%3A21-23&amp;version=NIV","Mark 7:1-8;14,21-23")</f>
        <v>Mark 7:1-8;14,21-23</v>
      </c>
      <c r="U47" s="44" t="s">
        <v>677</v>
      </c>
      <c r="V47" s="47" t="s">
        <v>1385</v>
      </c>
      <c r="W47" s="39"/>
      <c r="X47" s="47"/>
      <c r="Y47" s="47" t="s">
        <v>357</v>
      </c>
    </row>
    <row r="48" spans="1:27" ht="15.05">
      <c r="A48" s="185" t="s">
        <v>684</v>
      </c>
      <c r="B48" s="187" t="s">
        <v>453</v>
      </c>
      <c r="C48" s="187" t="s">
        <v>5</v>
      </c>
      <c r="D48" s="187" t="s">
        <v>6</v>
      </c>
      <c r="E48" s="8"/>
      <c r="F48" s="8" t="s">
        <v>10</v>
      </c>
      <c r="G48" s="4" t="s">
        <v>13</v>
      </c>
      <c r="H48" s="4" t="s">
        <v>12</v>
      </c>
      <c r="I48" s="189"/>
      <c r="J48" s="7"/>
      <c r="K48" s="7" t="s">
        <v>16</v>
      </c>
      <c r="L48" s="7" t="s">
        <v>17</v>
      </c>
      <c r="M48" s="7" t="s">
        <v>18</v>
      </c>
      <c r="N48" s="7" t="s">
        <v>19</v>
      </c>
      <c r="O48" s="7" t="s">
        <v>20</v>
      </c>
      <c r="P48" s="7" t="s">
        <v>22</v>
      </c>
      <c r="Q48" s="7" t="s">
        <v>23</v>
      </c>
      <c r="R48" s="7" t="s">
        <v>24</v>
      </c>
      <c r="S48" s="7" t="s">
        <v>25</v>
      </c>
      <c r="T48" s="7" t="s">
        <v>26</v>
      </c>
      <c r="U48" s="8" t="s">
        <v>30</v>
      </c>
      <c r="V48" s="11" t="s">
        <v>456</v>
      </c>
      <c r="W48" s="11"/>
      <c r="X48" s="11" t="s">
        <v>687</v>
      </c>
      <c r="Y48" s="11"/>
    </row>
    <row r="49" spans="1:25" ht="45.1">
      <c r="A49" s="41">
        <f>A47+7</f>
        <v>42260</v>
      </c>
      <c r="B49" s="43" t="s">
        <v>680</v>
      </c>
      <c r="C49" s="43" t="s">
        <v>63</v>
      </c>
      <c r="D49" s="43" t="s">
        <v>43</v>
      </c>
      <c r="E49" s="44" t="s">
        <v>64</v>
      </c>
      <c r="F49" s="44" t="str">
        <f t="shared" ref="F49:F59" si="13">IF(OR(INT(DAY(A49)/7)+1=2,INT(DAY(A49)/7)+1=4,INT(DAY(A49)/7)+1=5),"X","")</f>
        <v>X</v>
      </c>
      <c r="G49" s="43" t="s">
        <v>46</v>
      </c>
      <c r="H49" s="43" t="s">
        <v>43</v>
      </c>
      <c r="I49" s="47"/>
      <c r="J49" s="49" t="str">
        <f>HYPERLINK("https://drive.google.com/drive/folders/0B4o9FS6Fg-3eTVlrZGpkY2h6TjA","Service notes")</f>
        <v>Service notes</v>
      </c>
      <c r="K49" s="51"/>
      <c r="L49" s="43" t="s">
        <v>83</v>
      </c>
      <c r="M49" s="184" t="s">
        <v>1386</v>
      </c>
      <c r="N49" s="186"/>
      <c r="O49" s="188" t="s">
        <v>669</v>
      </c>
      <c r="P49" s="188" t="s">
        <v>1387</v>
      </c>
      <c r="Q49" s="188" t="s">
        <v>1388</v>
      </c>
      <c r="R49" s="192" t="str">
        <f>HYPERLINK("https://www.biblegateway.com/passage/?search=Isaiah%2035:4-7","Isaiah 35:4-7a")</f>
        <v>Isaiah 35:4-7a</v>
      </c>
      <c r="S49" s="192" t="str">
        <f>HYPERLINK("https://www.biblegateway.com/passage/?search=James+1:17-27","James 1:17-27")</f>
        <v>James 1:17-27</v>
      </c>
      <c r="T49" s="192" t="str">
        <f>HYPERLINK("https://www.biblegateway.com/passage/?search=Mark%207:31-37","Mark 7:31-37")</f>
        <v>Mark 7:31-37</v>
      </c>
      <c r="U49" s="197" t="s">
        <v>1014</v>
      </c>
      <c r="V49" s="194" t="s">
        <v>1389</v>
      </c>
      <c r="W49" s="34"/>
      <c r="X49" s="47" t="s">
        <v>763</v>
      </c>
      <c r="Y49" s="47" t="s">
        <v>357</v>
      </c>
    </row>
    <row r="50" spans="1:25" ht="30.05">
      <c r="A50" s="41">
        <f t="shared" ref="A50:A59" si="14">A49+7</f>
        <v>42267</v>
      </c>
      <c r="B50" s="43" t="s">
        <v>695</v>
      </c>
      <c r="C50" s="43" t="s">
        <v>46</v>
      </c>
      <c r="D50" s="43" t="s">
        <v>46</v>
      </c>
      <c r="E50" s="44" t="s">
        <v>90</v>
      </c>
      <c r="F50" s="45" t="str">
        <f t="shared" si="13"/>
        <v/>
      </c>
      <c r="G50" s="43" t="s">
        <v>40</v>
      </c>
      <c r="H50" s="43" t="s">
        <v>43</v>
      </c>
      <c r="I50" s="47"/>
      <c r="J50" s="49" t="str">
        <f>HYPERLINK("https://drive.google.com/drive/folders/0B4o9FS6Fg-3eenl6Rm1mZUlNd0E","Service notes")</f>
        <v>Service notes</v>
      </c>
      <c r="K50" s="51"/>
      <c r="L50" s="43" t="s">
        <v>91</v>
      </c>
      <c r="M50" s="186"/>
      <c r="N50" s="186"/>
      <c r="O50" s="188" t="s">
        <v>696</v>
      </c>
      <c r="P50" s="188" t="s">
        <v>1390</v>
      </c>
      <c r="Q50" s="188" t="s">
        <v>1391</v>
      </c>
      <c r="R50" s="192" t="str">
        <f>HYPERLINK("https://www.biblegateway.com/passage/?search=Isaiah+50%3A4-10","Isaiah 50:4-10")</f>
        <v>Isaiah 50:4-10</v>
      </c>
      <c r="S50" s="192" t="str">
        <f>HYPERLINK("https://www.biblegateway.com/passage/?search=James+2%3A1-5%2CJames+2%3A8-10%2CJames+2%3A14-18&amp;version=NIV","James 2:1-5,8-10,14-18")</f>
        <v>James 2:1-5,8-10,14-18</v>
      </c>
      <c r="T50" s="192" t="str">
        <f>HYPERLINK("https://www.biblegateway.com/passage/?search=Mark%208:27-35","Mark 8:27-35")</f>
        <v>Mark 8:27-35</v>
      </c>
      <c r="U50" s="197" t="s">
        <v>303</v>
      </c>
      <c r="V50" s="194" t="s">
        <v>1392</v>
      </c>
      <c r="W50" s="34"/>
      <c r="X50" s="47" t="s">
        <v>152</v>
      </c>
      <c r="Y50" s="47" t="s">
        <v>357</v>
      </c>
    </row>
    <row r="51" spans="1:25" ht="45.1">
      <c r="A51" s="41">
        <f t="shared" si="14"/>
        <v>42274</v>
      </c>
      <c r="B51" s="43" t="s">
        <v>706</v>
      </c>
      <c r="C51" s="43" t="s">
        <v>40</v>
      </c>
      <c r="D51" s="43" t="s">
        <v>46</v>
      </c>
      <c r="E51" s="44" t="s">
        <v>64</v>
      </c>
      <c r="F51" s="44" t="str">
        <f t="shared" si="13"/>
        <v>X</v>
      </c>
      <c r="G51" s="43" t="s">
        <v>46</v>
      </c>
      <c r="H51" s="43" t="s">
        <v>43</v>
      </c>
      <c r="I51" s="47"/>
      <c r="J51" s="49" t="str">
        <f t="shared" ref="J51:J53" si="15">HYPERLINK("https://drive.google.com/drive/folders/0B4o9FS6Fg-3eTVlrZGpkY2h6TjA","Service notes")</f>
        <v>Service notes</v>
      </c>
      <c r="K51" s="51"/>
      <c r="L51" s="43" t="s">
        <v>1171</v>
      </c>
      <c r="M51" s="186"/>
      <c r="N51" s="186"/>
      <c r="O51" s="188" t="s">
        <v>707</v>
      </c>
      <c r="P51" s="188" t="s">
        <v>1393</v>
      </c>
      <c r="Q51" s="188" t="s">
        <v>1394</v>
      </c>
      <c r="R51" s="192" t="str">
        <f>HYPERLINK("https://www.biblegateway.com/passage/?search=Jeremiah+11:18-20","Jeremiah 11:18-20")</f>
        <v>Jeremiah 11:18-20</v>
      </c>
      <c r="S51" s="192" t="str">
        <f>HYPERLINK("https://www.biblegateway.com/passage/?search=James%203:13-18","James 3:13-18")</f>
        <v>James 3:13-18</v>
      </c>
      <c r="T51" s="192" t="str">
        <f>HYPERLINK("https://www.biblegateway.com/passage/?search=Mark%209:30-37","Mark 9:30-37")</f>
        <v>Mark 9:30-37</v>
      </c>
      <c r="U51" s="197" t="s">
        <v>195</v>
      </c>
      <c r="V51" s="194" t="s">
        <v>1395</v>
      </c>
      <c r="W51" s="34"/>
      <c r="X51" s="47" t="s">
        <v>165</v>
      </c>
      <c r="Y51" s="47" t="s">
        <v>357</v>
      </c>
    </row>
    <row r="52" spans="1:25" ht="30.05">
      <c r="A52" s="41">
        <f t="shared" si="14"/>
        <v>42281</v>
      </c>
      <c r="B52" s="43" t="s">
        <v>710</v>
      </c>
      <c r="C52" s="43" t="s">
        <v>40</v>
      </c>
      <c r="D52" s="43"/>
      <c r="E52" s="44" t="s">
        <v>44</v>
      </c>
      <c r="F52" s="45" t="str">
        <f t="shared" si="13"/>
        <v/>
      </c>
      <c r="G52" s="43" t="s">
        <v>46</v>
      </c>
      <c r="H52" s="43" t="s">
        <v>43</v>
      </c>
      <c r="I52" s="47"/>
      <c r="J52" s="49" t="str">
        <f t="shared" si="15"/>
        <v>Service notes</v>
      </c>
      <c r="K52" s="51"/>
      <c r="L52" s="43" t="s">
        <v>1396</v>
      </c>
      <c r="M52" s="51"/>
      <c r="N52" s="51"/>
      <c r="O52" s="43" t="s">
        <v>711</v>
      </c>
      <c r="P52" s="43" t="s">
        <v>1397</v>
      </c>
      <c r="Q52" s="43" t="s">
        <v>1398</v>
      </c>
      <c r="R52" s="49" t="str">
        <f>HYPERLINK("https://www.biblegateway.com/passage/?search=Numbers+11%3A4-6%2CNumbers+11%3A10-16%2CNumbers+11%3A24-29&amp;version=NIV","Numbers 11:16, 24-29")</f>
        <v>Numbers 11:16, 24-29</v>
      </c>
      <c r="S52" s="49" t="str">
        <f>HYPERLINK("https://www.biblegateway.com/passage/?search=James+4%3A7-12","James 4:7-12")</f>
        <v>James 4:7-12</v>
      </c>
      <c r="T52" s="49" t="str">
        <f>HYPERLINK("https://www.biblegateway.com/passage/?search=Mark+9:38-50","Mark 9:38-50")</f>
        <v>Mark 9:38-50</v>
      </c>
      <c r="U52" s="44" t="s">
        <v>433</v>
      </c>
      <c r="V52" s="47" t="s">
        <v>1399</v>
      </c>
      <c r="W52" s="34"/>
      <c r="X52" s="47" t="s">
        <v>368</v>
      </c>
      <c r="Y52" s="47" t="s">
        <v>402</v>
      </c>
    </row>
    <row r="53" spans="1:25" ht="45.1">
      <c r="A53" s="41">
        <f t="shared" si="14"/>
        <v>42288</v>
      </c>
      <c r="B53" s="43" t="s">
        <v>715</v>
      </c>
      <c r="C53" s="43" t="s">
        <v>46</v>
      </c>
      <c r="D53" s="43" t="s">
        <v>43</v>
      </c>
      <c r="E53" s="44" t="s">
        <v>64</v>
      </c>
      <c r="F53" s="44" t="str">
        <f t="shared" si="13"/>
        <v>X</v>
      </c>
      <c r="G53" s="43" t="s">
        <v>40</v>
      </c>
      <c r="H53" s="43" t="s">
        <v>43</v>
      </c>
      <c r="I53" s="47"/>
      <c r="J53" s="49" t="str">
        <f t="shared" si="15"/>
        <v>Service notes</v>
      </c>
      <c r="K53" s="51"/>
      <c r="L53" s="43" t="s">
        <v>83</v>
      </c>
      <c r="M53" s="51"/>
      <c r="N53" s="51"/>
      <c r="O53" s="43" t="s">
        <v>716</v>
      </c>
      <c r="P53" s="43" t="s">
        <v>1400</v>
      </c>
      <c r="Q53" s="43" t="s">
        <v>1401</v>
      </c>
      <c r="R53" s="49" t="str">
        <f>HYPERLINK("https://www.biblegateway.com/passage/?search=Genesis%202:18-24","Genesis 2:18-24")</f>
        <v>Genesis 2:18-24</v>
      </c>
      <c r="S53" s="49" t="str">
        <f>HYPERLINK("https://www.biblegateway.com/passage/?search=Hebrews+2:9-11","Hebrews 2:9-11")</f>
        <v>Hebrews 2:9-11</v>
      </c>
      <c r="T53" s="49" t="str">
        <f>HYPERLINK("https://www.biblegateway.com/passage/?search=Mark%2010:2-16","Mark 10:2-16")</f>
        <v>Mark 10:2-16</v>
      </c>
      <c r="U53" s="44" t="s">
        <v>720</v>
      </c>
      <c r="V53" s="47" t="s">
        <v>1402</v>
      </c>
      <c r="W53" s="34"/>
      <c r="X53" s="53"/>
      <c r="Y53" s="47" t="s">
        <v>402</v>
      </c>
    </row>
    <row r="54" spans="1:25" ht="15.05">
      <c r="A54" s="173">
        <f t="shared" si="14"/>
        <v>42295</v>
      </c>
      <c r="B54" s="114" t="s">
        <v>721</v>
      </c>
      <c r="C54" s="114" t="s">
        <v>63</v>
      </c>
      <c r="D54" s="114" t="s">
        <v>40</v>
      </c>
      <c r="E54" s="115" t="s">
        <v>44</v>
      </c>
      <c r="F54" s="115" t="str">
        <f t="shared" si="13"/>
        <v/>
      </c>
      <c r="G54" s="114" t="s">
        <v>46</v>
      </c>
      <c r="H54" s="114" t="s">
        <v>43</v>
      </c>
      <c r="I54" s="117"/>
      <c r="J54" s="119" t="str">
        <f>HYPERLINK("https://drive.google.com/drive/folders/0B4o9FS6Fg-3eekk1eUFtQlZ0SkU","Service notes")</f>
        <v>Service notes</v>
      </c>
      <c r="K54" s="113"/>
      <c r="L54" s="114" t="s">
        <v>91</v>
      </c>
      <c r="M54" s="113"/>
      <c r="N54" s="113"/>
      <c r="O54" s="114" t="s">
        <v>1403</v>
      </c>
      <c r="P54" s="114" t="s">
        <v>1404</v>
      </c>
      <c r="Q54" s="114" t="s">
        <v>1405</v>
      </c>
      <c r="R54" s="119" t="str">
        <f>HYPERLINK("https://www.biblegateway.com/passage/?search=Isaiah+43:8-13","Isaiah 43:8-13")</f>
        <v>Isaiah 43:8-13</v>
      </c>
      <c r="S54" s="119" t="str">
        <f>HYPERLINK("https://www.biblegateway.com/passage/?search=2+timothy+4%3A5-11&amp;version=NIV","2 Timothy 4:5-11")</f>
        <v>2 Timothy 4:5-11</v>
      </c>
      <c r="T54" s="119" t="str">
        <f>HYPERLINK("https://www.biblegateway.com/passage/?search=Mark+10:17-27","Mark 10:17-27")</f>
        <v>Mark 10:17-27</v>
      </c>
      <c r="U54" s="115">
        <v>90</v>
      </c>
      <c r="V54" s="116" t="s">
        <v>1406</v>
      </c>
      <c r="W54" s="34"/>
      <c r="X54" s="116" t="s">
        <v>788</v>
      </c>
      <c r="Y54" s="116" t="s">
        <v>402</v>
      </c>
    </row>
    <row r="55" spans="1:25" ht="15.05">
      <c r="A55" s="41">
        <f t="shared" si="14"/>
        <v>42302</v>
      </c>
      <c r="B55" s="43" t="s">
        <v>728</v>
      </c>
      <c r="C55" s="43" t="s">
        <v>46</v>
      </c>
      <c r="D55" s="43" t="s">
        <v>43</v>
      </c>
      <c r="E55" s="44" t="s">
        <v>64</v>
      </c>
      <c r="F55" s="44" t="str">
        <f t="shared" si="13"/>
        <v>X</v>
      </c>
      <c r="G55" s="43" t="s">
        <v>559</v>
      </c>
      <c r="H55" s="43" t="s">
        <v>43</v>
      </c>
      <c r="I55" s="47"/>
      <c r="J55" s="49" t="str">
        <f>HYPERLINK("https://drive.google.com/drive/folders/0B4o9FS6Fg-3eVzVYQkV4VVNOb3c","Service notes")</f>
        <v>Service notes</v>
      </c>
      <c r="K55" s="51"/>
      <c r="L55" s="43" t="s">
        <v>1171</v>
      </c>
      <c r="M55" s="51"/>
      <c r="N55" s="51"/>
      <c r="O55" s="43" t="s">
        <v>732</v>
      </c>
      <c r="P55" s="43" t="s">
        <v>1407</v>
      </c>
      <c r="Q55" s="43" t="s">
        <v>1408</v>
      </c>
      <c r="R55" s="49" t="str">
        <f>HYPERLINK("https://www.biblegateway.com/passage/?search=Isaiah+53:10-12","Isaiah 53:10-12")</f>
        <v>Isaiah 53:10-12</v>
      </c>
      <c r="S55" s="49" t="str">
        <f>HYPERLINK("https://www.biblegateway.com/passage/?search=Hebrews+4%3A9-16","Hebrews 4:9-16")</f>
        <v>Hebrews 4:9-16</v>
      </c>
      <c r="T55" s="49" t="str">
        <f>HYPERLINK("https://www.biblegateway.com/passage/?search=Mark+10:35-45","Mark 10:35-45")</f>
        <v>Mark 10:35-45</v>
      </c>
      <c r="U55" s="44" t="s">
        <v>1409</v>
      </c>
      <c r="V55" s="47" t="s">
        <v>1410</v>
      </c>
      <c r="W55" s="34"/>
      <c r="X55" s="47" t="s">
        <v>1411</v>
      </c>
      <c r="Y55" s="47" t="s">
        <v>402</v>
      </c>
    </row>
    <row r="56" spans="1:25" ht="15.05">
      <c r="A56" s="173">
        <f t="shared" si="14"/>
        <v>42309</v>
      </c>
      <c r="B56" s="113" t="s">
        <v>790</v>
      </c>
      <c r="C56" s="114" t="s">
        <v>40</v>
      </c>
      <c r="D56" s="113"/>
      <c r="E56" s="115" t="s">
        <v>44</v>
      </c>
      <c r="F56" s="203" t="str">
        <f t="shared" si="13"/>
        <v/>
      </c>
      <c r="G56" s="276" t="s">
        <v>1412</v>
      </c>
      <c r="H56" s="264"/>
      <c r="I56" s="117"/>
      <c r="J56" s="119" t="str">
        <f t="shared" ref="J56:J64" si="16">HYPERLINK("https://drive.google.com/drive/folders/0B4o9FS6Fg-3eTVlrZGpkY2h6TjA","Service notes")</f>
        <v>Service notes</v>
      </c>
      <c r="K56" s="113"/>
      <c r="L56" s="114" t="s">
        <v>1008</v>
      </c>
      <c r="M56" s="113"/>
      <c r="N56" s="113"/>
      <c r="O56" s="114" t="s">
        <v>792</v>
      </c>
      <c r="P56" s="114" t="s">
        <v>1413</v>
      </c>
      <c r="Q56" s="114" t="s">
        <v>1414</v>
      </c>
      <c r="R56" s="119" t="str">
        <f>HYPERLINK("https://www.biblegateway.com/passage/?search=Jeremiah%2018:1-11","Jeremiah 18:1-11")</f>
        <v>Jeremiah 18:1-11</v>
      </c>
      <c r="S56" s="119" t="str">
        <f>HYPERLINK("https://www.biblegateway.com/passage/?search=Revelation%2014:6-7","Revelation 14:6,7")</f>
        <v>Revelation 14:6,7</v>
      </c>
      <c r="T56" s="119" t="str">
        <f>HYPERLINK("https://www.biblegateway.com/passage/?search=Mark%2013:5-11","Mark 13:5-11")</f>
        <v>Mark 13:5-11</v>
      </c>
      <c r="U56" s="115">
        <v>46</v>
      </c>
      <c r="V56" s="116" t="s">
        <v>1415</v>
      </c>
      <c r="W56" s="34"/>
      <c r="X56" s="116" t="s">
        <v>152</v>
      </c>
      <c r="Y56" s="116" t="s">
        <v>518</v>
      </c>
    </row>
    <row r="57" spans="1:25" ht="30.05">
      <c r="A57" s="173">
        <f t="shared" si="14"/>
        <v>42316</v>
      </c>
      <c r="B57" s="113" t="s">
        <v>758</v>
      </c>
      <c r="C57" s="114" t="s">
        <v>43</v>
      </c>
      <c r="D57" s="114" t="s">
        <v>40</v>
      </c>
      <c r="E57" s="115" t="s">
        <v>64</v>
      </c>
      <c r="F57" s="115" t="str">
        <f t="shared" si="13"/>
        <v>X</v>
      </c>
      <c r="G57" s="114" t="s">
        <v>46</v>
      </c>
      <c r="H57" s="114" t="s">
        <v>40</v>
      </c>
      <c r="I57" s="116"/>
      <c r="J57" s="119" t="str">
        <f t="shared" si="16"/>
        <v>Service notes</v>
      </c>
      <c r="K57" s="113"/>
      <c r="L57" s="114" t="s">
        <v>83</v>
      </c>
      <c r="M57" s="113"/>
      <c r="N57" s="113"/>
      <c r="O57" s="114" t="s">
        <v>751</v>
      </c>
      <c r="P57" s="114" t="s">
        <v>1416</v>
      </c>
      <c r="Q57" s="114" t="s">
        <v>1417</v>
      </c>
      <c r="R57" s="119" t="str">
        <f>HYPERLINK("https://www.biblegateway.com/passage/?search=Malachi%204:1-2","Malachi 4:1,2a")</f>
        <v>Malachi 4:1,2a</v>
      </c>
      <c r="S57" s="119" t="str">
        <f>HYPERLINK("https://www.biblegateway.com/passage/?search=Hebrews%209:24-28","Hebrews 9:24-28")</f>
        <v>Hebrews 9:24-28</v>
      </c>
      <c r="T57" s="119" t="str">
        <f>HYPERLINK("https://www.biblegateway.com/passage/?search=John+5:19-24","John 5:19-24")</f>
        <v>John 5:19-24</v>
      </c>
      <c r="U57" s="115" t="s">
        <v>1418</v>
      </c>
      <c r="V57" s="116" t="s">
        <v>1419</v>
      </c>
      <c r="W57" s="34"/>
      <c r="X57" s="117"/>
      <c r="Y57" s="116" t="s">
        <v>518</v>
      </c>
    </row>
    <row r="58" spans="1:25" ht="30.05">
      <c r="A58" s="37">
        <f t="shared" si="14"/>
        <v>42323</v>
      </c>
      <c r="B58" s="25" t="s">
        <v>769</v>
      </c>
      <c r="C58" s="20" t="s">
        <v>46</v>
      </c>
      <c r="D58" s="20"/>
      <c r="E58" s="22" t="s">
        <v>64</v>
      </c>
      <c r="F58" s="23" t="str">
        <f t="shared" si="13"/>
        <v/>
      </c>
      <c r="G58" s="20" t="s">
        <v>43</v>
      </c>
      <c r="H58" s="20" t="s">
        <v>40</v>
      </c>
      <c r="I58" s="26"/>
      <c r="J58" s="28" t="str">
        <f t="shared" si="16"/>
        <v>Service notes</v>
      </c>
      <c r="K58" s="25"/>
      <c r="L58" s="20" t="s">
        <v>91</v>
      </c>
      <c r="M58" s="25"/>
      <c r="N58" s="25"/>
      <c r="O58" s="20" t="s">
        <v>761</v>
      </c>
      <c r="P58" s="20" t="s">
        <v>1420</v>
      </c>
      <c r="Q58" s="20" t="s">
        <v>1421</v>
      </c>
      <c r="R58" s="28" t="str">
        <f>HYPERLINK("https://www.biblegateway.com/passage/?search=Daniel+12%3A1-2","Daniel 12:1-2")</f>
        <v>Daniel 12:1-2</v>
      </c>
      <c r="S58" s="28" t="str">
        <f>HYPERLINK("https://www.biblegateway.com/passage/?search=Hebrews+10%3A11-18","Hebrews 10:11-18")</f>
        <v>Hebrews 10:11-18</v>
      </c>
      <c r="T58" s="28" t="str">
        <f>HYPERLINK("https://www.biblegateway.com/passage/?search=John+5:25-29","John 5:25-29")</f>
        <v>John 5:25-29</v>
      </c>
      <c r="U58" s="22" t="s">
        <v>316</v>
      </c>
      <c r="V58" s="33" t="s">
        <v>1422</v>
      </c>
      <c r="W58" s="34"/>
      <c r="X58" s="33"/>
      <c r="Y58" s="33" t="s">
        <v>518</v>
      </c>
    </row>
    <row r="59" spans="1:25" ht="15.05">
      <c r="A59" s="37">
        <f t="shared" si="14"/>
        <v>42330</v>
      </c>
      <c r="B59" s="20" t="s">
        <v>1423</v>
      </c>
      <c r="C59" s="20" t="s">
        <v>43</v>
      </c>
      <c r="D59" s="20" t="s">
        <v>40</v>
      </c>
      <c r="E59" s="22" t="s">
        <v>90</v>
      </c>
      <c r="F59" s="22" t="str">
        <f t="shared" si="13"/>
        <v>X</v>
      </c>
      <c r="G59" s="20" t="s">
        <v>46</v>
      </c>
      <c r="H59" s="20" t="s">
        <v>40</v>
      </c>
      <c r="I59" s="26"/>
      <c r="J59" s="28" t="str">
        <f t="shared" si="16"/>
        <v>Service notes</v>
      </c>
      <c r="K59" s="25"/>
      <c r="L59" s="20" t="s">
        <v>1171</v>
      </c>
      <c r="M59" s="25"/>
      <c r="N59" s="25"/>
      <c r="O59" s="20" t="s">
        <v>771</v>
      </c>
      <c r="P59" s="20" t="s">
        <v>1424</v>
      </c>
      <c r="Q59" s="20" t="s">
        <v>1425</v>
      </c>
      <c r="R59" s="28" t="str">
        <f>HYPERLINK("https://www.biblegateway.com/passage/?search=Daniel%207:13-14","Daniel 7:13, 14")</f>
        <v>Daniel 7:13, 14</v>
      </c>
      <c r="S59" s="46" t="s">
        <v>1424</v>
      </c>
      <c r="T59" s="28" t="str">
        <f>HYPERLINK("https://www.biblegateway.com/passage/?search=John%2018:33-37","John 18:33-37")</f>
        <v>John 18:33-37</v>
      </c>
      <c r="U59" s="22" t="s">
        <v>1426</v>
      </c>
      <c r="V59" s="33" t="s">
        <v>1427</v>
      </c>
      <c r="W59" s="34"/>
      <c r="X59" s="26"/>
      <c r="Y59" s="33" t="s">
        <v>518</v>
      </c>
    </row>
    <row r="60" spans="1:25" ht="15.05">
      <c r="A60" s="17">
        <f>A59+3</f>
        <v>42333</v>
      </c>
      <c r="B60" s="20" t="s">
        <v>780</v>
      </c>
      <c r="C60" s="20" t="s">
        <v>46</v>
      </c>
      <c r="D60" s="20"/>
      <c r="E60" s="22" t="s">
        <v>44</v>
      </c>
      <c r="F60" s="22"/>
      <c r="G60" s="20"/>
      <c r="H60" s="20"/>
      <c r="I60" s="26"/>
      <c r="J60" s="28" t="str">
        <f t="shared" si="16"/>
        <v>Service notes</v>
      </c>
      <c r="K60" s="25"/>
      <c r="L60" s="20"/>
      <c r="M60" s="25"/>
      <c r="N60" s="25"/>
      <c r="O60" s="25"/>
      <c r="P60" s="20" t="s">
        <v>881</v>
      </c>
      <c r="Q60" s="20" t="s">
        <v>1428</v>
      </c>
      <c r="R60" s="28" t="str">
        <f t="shared" ref="R60:R61" si="17">HYPERLINK("https://www.biblegateway.com/passage/?search=Deuteronomy+8%3A10-18","Deuteronomy 8:10-18")</f>
        <v>Deuteronomy 8:10-18</v>
      </c>
      <c r="S60" s="28" t="str">
        <f t="shared" ref="S60:S61" si="18">HYPERLINK("https://www.biblegateway.com/passage/?search=Philippians+4:10-20","Philippians 4:10-20")</f>
        <v>Philippians 4:10-20</v>
      </c>
      <c r="T60" s="28" t="str">
        <f t="shared" ref="T60:T61" si="19">HYPERLINK("https://www.biblegateway.com/passage/?search=Luke%2017:11-19","Luke 17:11-19")</f>
        <v>Luke 17:11-19</v>
      </c>
      <c r="U60" s="22" t="s">
        <v>1429</v>
      </c>
      <c r="V60" s="33" t="s">
        <v>1430</v>
      </c>
      <c r="W60" s="34"/>
      <c r="X60" s="33" t="s">
        <v>165</v>
      </c>
      <c r="Y60" s="26"/>
    </row>
    <row r="61" spans="1:25" ht="15.05">
      <c r="A61" s="17">
        <f>A60+1</f>
        <v>42334</v>
      </c>
      <c r="B61" s="20" t="s">
        <v>780</v>
      </c>
      <c r="C61" s="20" t="s">
        <v>46</v>
      </c>
      <c r="D61" s="20"/>
      <c r="E61" s="22" t="s">
        <v>44</v>
      </c>
      <c r="F61" s="22"/>
      <c r="G61" s="20"/>
      <c r="H61" s="20"/>
      <c r="I61" s="26"/>
      <c r="J61" s="28" t="str">
        <f t="shared" si="16"/>
        <v>Service notes</v>
      </c>
      <c r="K61" s="25"/>
      <c r="L61" s="20"/>
      <c r="M61" s="25"/>
      <c r="N61" s="25"/>
      <c r="O61" s="25"/>
      <c r="P61" s="20" t="s">
        <v>881</v>
      </c>
      <c r="Q61" s="20" t="s">
        <v>1428</v>
      </c>
      <c r="R61" s="28" t="str">
        <f t="shared" si="17"/>
        <v>Deuteronomy 8:10-18</v>
      </c>
      <c r="S61" s="28" t="str">
        <f t="shared" si="18"/>
        <v>Philippians 4:10-20</v>
      </c>
      <c r="T61" s="28" t="str">
        <f t="shared" si="19"/>
        <v>Luke 17:11-19</v>
      </c>
      <c r="U61" s="22" t="s">
        <v>1429</v>
      </c>
      <c r="V61" s="33" t="s">
        <v>1430</v>
      </c>
      <c r="W61" s="34"/>
      <c r="X61" s="26"/>
      <c r="Y61" s="26"/>
    </row>
    <row r="62" spans="1:25" ht="15.05">
      <c r="A62" s="216">
        <f>A59+7</f>
        <v>42337</v>
      </c>
      <c r="B62" s="218" t="s">
        <v>819</v>
      </c>
      <c r="C62" s="218" t="s">
        <v>63</v>
      </c>
      <c r="D62" s="218" t="s">
        <v>43</v>
      </c>
      <c r="E62" s="219" t="s">
        <v>44</v>
      </c>
      <c r="F62" s="219" t="str">
        <f t="shared" ref="F62:F64" si="20">IF(OR(INT(DAY(A62)/7)+1=2,INT(DAY(A62)/7)+1=4,INT(DAY(A62)/7)+1=5),"X","")</f>
        <v>X</v>
      </c>
      <c r="G62" s="218" t="s">
        <v>46</v>
      </c>
      <c r="H62" s="218" t="s">
        <v>40</v>
      </c>
      <c r="I62" s="221"/>
      <c r="J62" s="226" t="str">
        <f t="shared" si="16"/>
        <v>Service notes</v>
      </c>
      <c r="K62" s="223"/>
      <c r="L62" s="218" t="s">
        <v>266</v>
      </c>
      <c r="M62" s="223"/>
      <c r="N62" s="223"/>
      <c r="O62" s="218" t="s">
        <v>797</v>
      </c>
      <c r="P62" s="218" t="s">
        <v>1431</v>
      </c>
      <c r="Q62" s="218" t="s">
        <v>1432</v>
      </c>
      <c r="R62" s="226" t="str">
        <f>HYPERLINK("https://www.biblegateway.com/passage/?search=Jeremiah%2033:14-16","Jeremiah 33:14-16")</f>
        <v>Jeremiah 33:14-16</v>
      </c>
      <c r="S62" s="226" t="str">
        <f>HYPERLINK("https://www.biblegateway.com/passage/?search=1%20Thessalonians%203:9-13","1 Thessalonians 3:9-13")</f>
        <v>1 Thessalonians 3:9-13</v>
      </c>
      <c r="T62" s="226" t="str">
        <f>HYPERLINK("https://www.biblegateway.com/passage/?search=Luke%2021:25-36","Luke 21:25-36")</f>
        <v>Luke 21:25-36</v>
      </c>
      <c r="U62" s="219" t="s">
        <v>450</v>
      </c>
      <c r="V62" s="228" t="s">
        <v>1433</v>
      </c>
      <c r="W62" s="34"/>
      <c r="X62" s="228"/>
      <c r="Y62" s="228" t="s">
        <v>518</v>
      </c>
    </row>
    <row r="63" spans="1:25" ht="15.05">
      <c r="A63" s="229">
        <f>A62+3</f>
        <v>42340</v>
      </c>
      <c r="B63" s="218" t="s">
        <v>834</v>
      </c>
      <c r="C63" s="218" t="s">
        <v>40</v>
      </c>
      <c r="D63" s="218" t="s">
        <v>40</v>
      </c>
      <c r="E63" s="219" t="s">
        <v>64</v>
      </c>
      <c r="F63" s="220" t="str">
        <f t="shared" si="20"/>
        <v/>
      </c>
      <c r="G63" s="218"/>
      <c r="H63" s="218"/>
      <c r="I63" s="221"/>
      <c r="J63" s="226" t="str">
        <f t="shared" si="16"/>
        <v>Service notes</v>
      </c>
      <c r="K63" s="223"/>
      <c r="L63" s="218" t="s">
        <v>958</v>
      </c>
      <c r="M63" s="223"/>
      <c r="N63" s="223"/>
      <c r="O63" s="223"/>
      <c r="P63" s="218" t="s">
        <v>1434</v>
      </c>
      <c r="Q63" s="218" t="s">
        <v>1435</v>
      </c>
      <c r="R63" s="226" t="str">
        <f>HYPERLINK("https://www.biblegateway.com/passage/?search=Isaiah%2035","Isaiah 35:1-10")</f>
        <v>Isaiah 35:1-10</v>
      </c>
      <c r="S63" s="218" t="s">
        <v>1436</v>
      </c>
      <c r="T63" s="218" t="s">
        <v>1254</v>
      </c>
      <c r="U63" s="219">
        <v>25</v>
      </c>
      <c r="V63" s="228" t="s">
        <v>1437</v>
      </c>
      <c r="W63" s="34"/>
      <c r="X63" s="221"/>
      <c r="Y63" s="228" t="s">
        <v>504</v>
      </c>
    </row>
    <row r="64" spans="1:25" ht="15.05">
      <c r="A64" s="216">
        <f>A62+7</f>
        <v>42344</v>
      </c>
      <c r="B64" s="218" t="s">
        <v>842</v>
      </c>
      <c r="C64" s="218" t="s">
        <v>43</v>
      </c>
      <c r="D64" s="218"/>
      <c r="E64" s="219" t="s">
        <v>64</v>
      </c>
      <c r="F64" s="220" t="str">
        <f t="shared" si="20"/>
        <v/>
      </c>
      <c r="G64" s="218" t="s">
        <v>46</v>
      </c>
      <c r="H64" s="218" t="s">
        <v>40</v>
      </c>
      <c r="I64" s="221"/>
      <c r="J64" s="226" t="str">
        <f t="shared" si="16"/>
        <v>Service notes</v>
      </c>
      <c r="K64" s="223"/>
      <c r="L64" s="218" t="s">
        <v>70</v>
      </c>
      <c r="M64" s="223"/>
      <c r="N64" s="223"/>
      <c r="O64" s="218" t="s">
        <v>825</v>
      </c>
      <c r="P64" s="218" t="s">
        <v>1438</v>
      </c>
      <c r="Q64" s="218" t="s">
        <v>1439</v>
      </c>
      <c r="R64" s="226" t="str">
        <f>HYPERLINK("https://www.biblegateway.com/passage/?search=Malachi%203:1-4","Malachi 3:1-4")</f>
        <v>Malachi 3:1-4</v>
      </c>
      <c r="S64" s="226" t="str">
        <f>HYPERLINK("https://www.biblegateway.com/passage/?search=Philippians%201:3-11","Philippians 1:3-11")</f>
        <v>Philippians 1:3-11</v>
      </c>
      <c r="T64" s="226" t="str">
        <f>HYPERLINK("https://www.biblegateway.com/passage/?search=Luke%203:1-6","Luke 3:1-6")</f>
        <v>Luke 3:1-6</v>
      </c>
      <c r="U64" s="219" t="s">
        <v>450</v>
      </c>
      <c r="V64" s="228" t="s">
        <v>1440</v>
      </c>
      <c r="W64" s="34"/>
      <c r="X64" s="228" t="s">
        <v>152</v>
      </c>
      <c r="Y64" s="228" t="s">
        <v>168</v>
      </c>
    </row>
    <row r="65" spans="1:25" ht="15.05">
      <c r="A65" s="229">
        <f>A64+3</f>
        <v>42347</v>
      </c>
      <c r="B65" s="218" t="s">
        <v>848</v>
      </c>
      <c r="C65" s="218" t="s">
        <v>46</v>
      </c>
      <c r="D65" s="218" t="s">
        <v>43</v>
      </c>
      <c r="E65" s="219" t="s">
        <v>521</v>
      </c>
      <c r="F65" s="219"/>
      <c r="G65" s="218"/>
      <c r="H65" s="218"/>
      <c r="I65" s="221"/>
      <c r="J65" s="231" t="s">
        <v>316</v>
      </c>
      <c r="K65" s="223"/>
      <c r="L65" s="218" t="s">
        <v>958</v>
      </c>
      <c r="M65" s="223"/>
      <c r="N65" s="223"/>
      <c r="O65" s="223"/>
      <c r="P65" s="226" t="str">
        <f>HYPERLINK("https://www.biblegateway.com/passage/?search=Malachi%203:1-4","Malachi 3:1-4")</f>
        <v>Malachi 3:1-4</v>
      </c>
      <c r="Q65" s="218" t="s">
        <v>1441</v>
      </c>
      <c r="R65" s="218" t="s">
        <v>839</v>
      </c>
      <c r="S65" s="218" t="s">
        <v>840</v>
      </c>
      <c r="T65" s="226" t="str">
        <f>HYPERLINK("https://www.biblegateway.com/passage/?search=Matthew%203:1-12","Matthew 3:1-12")</f>
        <v>Matthew 3:1-12</v>
      </c>
      <c r="U65" s="219" t="s">
        <v>599</v>
      </c>
      <c r="V65" s="228" t="s">
        <v>1442</v>
      </c>
      <c r="W65" s="34"/>
      <c r="X65" s="221"/>
      <c r="Y65" s="228" t="s">
        <v>504</v>
      </c>
    </row>
    <row r="66" spans="1:25" ht="15.05">
      <c r="A66" s="216">
        <f>A64+7</f>
        <v>42351</v>
      </c>
      <c r="B66" s="218" t="s">
        <v>851</v>
      </c>
      <c r="C66" s="218" t="s">
        <v>46</v>
      </c>
      <c r="D66" s="218" t="s">
        <v>40</v>
      </c>
      <c r="E66" s="219" t="s">
        <v>64</v>
      </c>
      <c r="F66" s="219" t="str">
        <f t="shared" ref="F66:F68" si="21">IF(OR(INT(DAY(A66)/7)+1=2,INT(DAY(A66)/7)+1=4,INT(DAY(A66)/7)+1=5),"X","")</f>
        <v>X</v>
      </c>
      <c r="G66" s="218" t="s">
        <v>43</v>
      </c>
      <c r="H66" s="218" t="s">
        <v>40</v>
      </c>
      <c r="I66" s="221"/>
      <c r="J66" s="226" t="str">
        <f>HYPERLINK("https://drive.google.com/drive/folders/0B4o9FS6Fg-3eTVlrZGpkY2h6TjA","Service notes")</f>
        <v>Service notes</v>
      </c>
      <c r="K66" s="223"/>
      <c r="L66" s="218" t="s">
        <v>83</v>
      </c>
      <c r="M66" s="223"/>
      <c r="N66" s="223"/>
      <c r="O66" s="218" t="s">
        <v>843</v>
      </c>
      <c r="P66" s="218" t="s">
        <v>844</v>
      </c>
      <c r="Q66" s="218" t="s">
        <v>1443</v>
      </c>
      <c r="R66" s="226" t="str">
        <f>HYPERLINK("https://www.biblegateway.com/passage/?search=Zephaniah%203:14-17","Zephaniah 3:14-17")</f>
        <v>Zephaniah 3:14-17</v>
      </c>
      <c r="S66" s="226" t="str">
        <f>HYPERLINK("https://www.biblegateway.com/passage/?search=Philippians%204:4-7","Philippians 4:4-7")</f>
        <v>Philippians 4:4-7</v>
      </c>
      <c r="T66" s="226" t="str">
        <f>HYPERLINK("https://www.biblegateway.com/passage/?search=Luke%203:7-18","Luke 3:7-18")</f>
        <v>Luke 3:7-18</v>
      </c>
      <c r="U66" s="219" t="s">
        <v>1444</v>
      </c>
      <c r="V66" s="228" t="s">
        <v>1445</v>
      </c>
      <c r="W66" s="34"/>
      <c r="X66" s="221"/>
      <c r="Y66" s="228" t="s">
        <v>168</v>
      </c>
    </row>
    <row r="67" spans="1:25" ht="15.05">
      <c r="A67" s="229">
        <f>A66+3</f>
        <v>42354</v>
      </c>
      <c r="B67" s="218" t="s">
        <v>858</v>
      </c>
      <c r="C67" s="218" t="s">
        <v>43</v>
      </c>
      <c r="D67" s="218" t="s">
        <v>43</v>
      </c>
      <c r="E67" s="219" t="s">
        <v>44</v>
      </c>
      <c r="F67" s="220" t="str">
        <f t="shared" si="21"/>
        <v/>
      </c>
      <c r="G67" s="218"/>
      <c r="H67" s="218"/>
      <c r="I67" s="221"/>
      <c r="J67" s="226" t="str">
        <f>HYPERLINK("https://drive.google.com/drive/folders/0B4o9FS6Fg-3eRkltU1BMYTk3RTA","Service notes")</f>
        <v>Service notes</v>
      </c>
      <c r="K67" s="223"/>
      <c r="L67" s="218" t="s">
        <v>958</v>
      </c>
      <c r="M67" s="223"/>
      <c r="N67" s="223"/>
      <c r="O67" s="223"/>
      <c r="P67" s="218" t="s">
        <v>1446</v>
      </c>
      <c r="Q67" s="223"/>
      <c r="R67" s="226" t="str">
        <f>HYPERLINK("https://www.biblegateway.com/passage/?search=Isaiah%2051:1-6","Isaiah 51:1-6")</f>
        <v>Isaiah 51:1-6</v>
      </c>
      <c r="S67" s="226" t="str">
        <f>HYPERLINK("https://www.biblegateway.com/passage/?search=Jude%2017-25","Jude 17-25")</f>
        <v>Jude 17-25</v>
      </c>
      <c r="T67" s="226" t="str">
        <f>HYPERLINK("https://www.biblegateway.com/passage/?search=Luke%201:46-55","Luke 1:46-55")</f>
        <v>Luke 1:46-55</v>
      </c>
      <c r="U67" s="219" t="s">
        <v>1447</v>
      </c>
      <c r="V67" s="228" t="s">
        <v>1448</v>
      </c>
      <c r="W67" s="34"/>
      <c r="X67" s="221"/>
      <c r="Y67" s="228" t="s">
        <v>504</v>
      </c>
    </row>
    <row r="68" spans="1:25" ht="15.05">
      <c r="A68" s="216">
        <f>A66+7</f>
        <v>42358</v>
      </c>
      <c r="B68" s="218" t="s">
        <v>862</v>
      </c>
      <c r="C68" s="218" t="s">
        <v>43</v>
      </c>
      <c r="D68" s="218"/>
      <c r="E68" s="219" t="s">
        <v>90</v>
      </c>
      <c r="F68" s="220" t="str">
        <f t="shared" si="21"/>
        <v/>
      </c>
      <c r="G68" s="218" t="s">
        <v>46</v>
      </c>
      <c r="H68" s="218" t="s">
        <v>40</v>
      </c>
      <c r="I68" s="221"/>
      <c r="J68" s="226" t="str">
        <f>HYPERLINK("https://drive.google.com/drive/folders/0B4o9FS6Fg-3eTVlrZGpkY2h6TjA","Service notes")</f>
        <v>Service notes</v>
      </c>
      <c r="K68" s="223"/>
      <c r="L68" s="218" t="s">
        <v>91</v>
      </c>
      <c r="M68" s="223"/>
      <c r="N68" s="223"/>
      <c r="O68" s="218" t="s">
        <v>852</v>
      </c>
      <c r="P68" s="218" t="s">
        <v>1449</v>
      </c>
      <c r="Q68" s="223"/>
      <c r="R68" s="226" t="str">
        <f>HYPERLINK("https://www.biblegateway.com/passage/?search=Micah%205:2-5","Micah 5:2-5a")</f>
        <v>Micah 5:2-5a</v>
      </c>
      <c r="S68" s="226" t="str">
        <f>HYPERLINK("https://www.biblegateway.com/passage/?search=Hebrews%2010:5-10","Hebrews 10:5-10")</f>
        <v>Hebrews 10:5-10</v>
      </c>
      <c r="T68" s="226" t="str">
        <f>HYPERLINK("https://www.biblegateway.com/passage/?search=Luke%201:39-55","Luke 1:39-55")</f>
        <v>Luke 1:39-55</v>
      </c>
      <c r="U68" s="219" t="s">
        <v>450</v>
      </c>
      <c r="V68" s="228" t="s">
        <v>1450</v>
      </c>
      <c r="W68" s="34"/>
      <c r="X68" s="221"/>
      <c r="Y68" s="228" t="s">
        <v>168</v>
      </c>
    </row>
    <row r="69" spans="1:25" ht="15.05">
      <c r="A69" s="229">
        <f>A68</f>
        <v>42358</v>
      </c>
      <c r="B69" s="218" t="s">
        <v>928</v>
      </c>
      <c r="C69" s="218"/>
      <c r="D69" s="218" t="s">
        <v>46</v>
      </c>
      <c r="E69" s="219" t="s">
        <v>1451</v>
      </c>
      <c r="F69" s="220"/>
      <c r="G69" s="220"/>
      <c r="H69" s="220"/>
      <c r="I69" s="221"/>
      <c r="J69" s="226" t="str">
        <f>HYPERLINK("https://drive.google.com/drive/folders/0B4o9FS6Fg-3eTVlrZGpkY2h6TjA","Service notes - DRAFT")</f>
        <v>Service notes - DRAFT</v>
      </c>
      <c r="K69" s="223"/>
      <c r="L69" s="218" t="s">
        <v>1452</v>
      </c>
      <c r="M69" s="223"/>
      <c r="N69" s="223"/>
      <c r="O69" s="223"/>
      <c r="P69" s="223"/>
      <c r="Q69" s="223"/>
      <c r="R69" s="223"/>
      <c r="S69" s="223"/>
      <c r="T69" s="223"/>
      <c r="U69" s="220"/>
      <c r="V69" s="221"/>
      <c r="W69" s="34"/>
      <c r="X69" s="221"/>
      <c r="Y69" s="221"/>
    </row>
    <row r="70" spans="1:25" ht="15.05">
      <c r="A70" s="17">
        <v>42362</v>
      </c>
      <c r="B70" s="20" t="s">
        <v>868</v>
      </c>
      <c r="C70" s="298" t="s">
        <v>929</v>
      </c>
      <c r="D70" s="20" t="s">
        <v>43</v>
      </c>
      <c r="E70" s="238" t="s">
        <v>44</v>
      </c>
      <c r="F70" s="23"/>
      <c r="G70" s="23"/>
      <c r="H70" s="23"/>
      <c r="I70" s="26"/>
      <c r="J70" s="28" t="str">
        <f>HYPERLINK("https://drive.google.com/drive/folders/0B4o9FS6Fg-3eTVlrZGpkY2h6TjA","Service notes")</f>
        <v>Service notes</v>
      </c>
      <c r="K70" s="25"/>
      <c r="L70" s="20" t="s">
        <v>1453</v>
      </c>
      <c r="M70" s="25"/>
      <c r="N70" s="25"/>
      <c r="O70" s="20"/>
      <c r="P70" s="28" t="str">
        <f>HYPERLINK("https://www.biblegateway.com/passage/?search=Luke+2:1-20","Luke 2:1-20")</f>
        <v>Luke 2:1-20</v>
      </c>
      <c r="Q70" s="25"/>
      <c r="R70" s="20"/>
      <c r="S70" s="20"/>
      <c r="T70" s="20"/>
      <c r="U70" s="22"/>
      <c r="V70" s="33" t="s">
        <v>1454</v>
      </c>
      <c r="W70" s="34"/>
      <c r="X70" s="33" t="s">
        <v>1455</v>
      </c>
      <c r="Y70" s="26"/>
    </row>
    <row r="71" spans="1:25" ht="15.05">
      <c r="A71" s="17">
        <v>42362</v>
      </c>
      <c r="B71" s="20" t="s">
        <v>871</v>
      </c>
      <c r="C71" s="20" t="s">
        <v>40</v>
      </c>
      <c r="D71" s="20"/>
      <c r="E71" s="5" t="s">
        <v>1456</v>
      </c>
      <c r="F71" s="23"/>
      <c r="G71" s="23"/>
      <c r="H71" s="23"/>
      <c r="I71" s="26"/>
      <c r="J71" s="25"/>
      <c r="K71" s="25"/>
      <c r="L71" s="20" t="s">
        <v>1457</v>
      </c>
      <c r="M71" s="25"/>
      <c r="N71" s="25"/>
      <c r="O71" s="20" t="s">
        <v>873</v>
      </c>
      <c r="P71" s="40" t="s">
        <v>877</v>
      </c>
      <c r="Q71" s="20" t="s">
        <v>1458</v>
      </c>
      <c r="R71" s="20" t="s">
        <v>876</v>
      </c>
      <c r="S71" s="20" t="s">
        <v>877</v>
      </c>
      <c r="T71" s="20" t="s">
        <v>879</v>
      </c>
      <c r="U71" s="22">
        <v>96</v>
      </c>
      <c r="V71" s="33" t="s">
        <v>1459</v>
      </c>
      <c r="W71" s="236"/>
      <c r="X71" s="26"/>
      <c r="Y71" s="26"/>
    </row>
    <row r="72" spans="1:25" ht="15.05">
      <c r="A72" s="17">
        <v>42363</v>
      </c>
      <c r="B72" s="25" t="s">
        <v>882</v>
      </c>
      <c r="C72" s="20" t="s">
        <v>43</v>
      </c>
      <c r="D72" s="20" t="s">
        <v>40</v>
      </c>
      <c r="E72" s="22" t="s">
        <v>1460</v>
      </c>
      <c r="F72" s="22" t="s">
        <v>167</v>
      </c>
      <c r="G72" s="23"/>
      <c r="H72" s="23"/>
      <c r="I72" s="26"/>
      <c r="J72" s="28" t="str">
        <f>HYPERLINK("https://drive.google.com/drive/folders/0B4o9FS6Fg-3eTVlrZGpkY2h6TjA","Service notes")</f>
        <v>Service notes</v>
      </c>
      <c r="K72" s="25"/>
      <c r="L72" s="20" t="s">
        <v>1457</v>
      </c>
      <c r="M72" s="25"/>
      <c r="N72" s="25"/>
      <c r="O72" s="20" t="s">
        <v>883</v>
      </c>
      <c r="P72" s="40" t="s">
        <v>889</v>
      </c>
      <c r="Q72" s="20" t="s">
        <v>1461</v>
      </c>
      <c r="R72" s="20" t="s">
        <v>887</v>
      </c>
      <c r="S72" s="20" t="s">
        <v>888</v>
      </c>
      <c r="T72" s="20" t="s">
        <v>889</v>
      </c>
      <c r="U72" s="22">
        <v>98</v>
      </c>
      <c r="V72" s="33" t="s">
        <v>1462</v>
      </c>
      <c r="W72" s="34"/>
      <c r="X72" s="33" t="s">
        <v>152</v>
      </c>
      <c r="Y72" s="26"/>
    </row>
    <row r="73" spans="1:25" ht="15.05">
      <c r="A73" s="37">
        <f>A68+7</f>
        <v>42365</v>
      </c>
      <c r="B73" s="20" t="s">
        <v>892</v>
      </c>
      <c r="C73" s="20" t="s">
        <v>63</v>
      </c>
      <c r="D73" s="20" t="s">
        <v>46</v>
      </c>
      <c r="E73" s="22" t="s">
        <v>44</v>
      </c>
      <c r="F73" s="22" t="str">
        <f t="shared" ref="F73:F74" si="22">IF(OR(INT(DAY(A73)/7)+1=2,INT(DAY(A73)/7)+1=4,INT(DAY(A73)/7)+1=5),"X","")</f>
        <v>X</v>
      </c>
      <c r="G73" s="276" t="s">
        <v>1463</v>
      </c>
      <c r="H73" s="264"/>
      <c r="I73" s="26"/>
      <c r="J73" s="25"/>
      <c r="K73" s="25"/>
      <c r="L73" s="20" t="s">
        <v>1464</v>
      </c>
      <c r="M73" s="25"/>
      <c r="N73" s="25"/>
      <c r="O73" s="20" t="s">
        <v>895</v>
      </c>
      <c r="P73" s="28" t="str">
        <f>HYPERLINK("https://www.biblegateway.com/passage/?search=Hebrews+2:10-18","Hebrews 2:10-18")</f>
        <v>Hebrews 2:10-18</v>
      </c>
      <c r="Q73" s="20" t="s">
        <v>1465</v>
      </c>
      <c r="R73" s="28" t="str">
        <f>HYPERLINK("https://www.biblegateway.com/passage/?search=1+Samuel+2%3A18-20%2C1+Samuel+2%3A26&amp;version=NIV","1 Samuel 2:18-20, 26")</f>
        <v>1 Samuel 2:18-20, 26</v>
      </c>
      <c r="S73" s="28" t="str">
        <f>HYPERLINK("https://www.biblegateway.com/passage/?search=Hebrews%202:10-18","Hebrews 2:10-18")</f>
        <v>Hebrews 2:10-18</v>
      </c>
      <c r="T73" s="28" t="str">
        <f>HYPERLINK("https://www.biblegateway.com/passage/?search=Luke%202%3A41-52","Luke 2:41-52")</f>
        <v>Luke 2:41-52</v>
      </c>
      <c r="U73" s="22">
        <v>111</v>
      </c>
      <c r="V73" s="33" t="s">
        <v>1466</v>
      </c>
      <c r="W73" s="26"/>
      <c r="X73" s="26"/>
      <c r="Y73" s="33" t="s">
        <v>168</v>
      </c>
    </row>
    <row r="74" spans="1:25" ht="15.05">
      <c r="A74" s="17">
        <v>42369</v>
      </c>
      <c r="B74" s="25" t="s">
        <v>897</v>
      </c>
      <c r="C74" s="20" t="s">
        <v>43</v>
      </c>
      <c r="D74" s="20" t="s">
        <v>46</v>
      </c>
      <c r="E74" s="22" t="s">
        <v>64</v>
      </c>
      <c r="F74" s="22" t="str">
        <f t="shared" si="22"/>
        <v>X</v>
      </c>
      <c r="G74" s="23"/>
      <c r="H74" s="23"/>
      <c r="I74" s="26"/>
      <c r="J74" s="25"/>
      <c r="K74" s="25"/>
      <c r="L74" s="20" t="s">
        <v>958</v>
      </c>
      <c r="M74" s="20"/>
      <c r="N74" s="25"/>
      <c r="O74" s="20" t="s">
        <v>898</v>
      </c>
      <c r="P74" s="28" t="str">
        <f>HYPERLINK("https://www.biblegateway.com/passage/?search=1%20Peter%201:22-25","1 Peter 1:22-25")</f>
        <v>1 Peter 1:22-25</v>
      </c>
      <c r="Q74" s="25"/>
      <c r="R74" s="28" t="str">
        <f>HYPERLINK("https://www.biblegateway.com/passage/?search=Isaiah%2051:1-6","Isaiah 51:1-6")</f>
        <v>Isaiah 51:1-6</v>
      </c>
      <c r="S74" s="28" t="str">
        <f>HYPERLINK("https://www.biblegateway.com/passage/?search=1%20Peter%201:22-25","1 Peter 1:22-25")</f>
        <v>1 Peter 1:22-25</v>
      </c>
      <c r="T74" s="28" t="str">
        <f>HYPERLINK("https://www.biblegateway.com/passage/?search=Luke%2013%3A6-9","Luke 13:6-9")</f>
        <v>Luke 13:6-9</v>
      </c>
      <c r="U74" s="22">
        <v>90</v>
      </c>
      <c r="V74" s="33" t="s">
        <v>1467</v>
      </c>
      <c r="W74" s="26"/>
      <c r="X74" s="26"/>
      <c r="Y74" s="26"/>
    </row>
    <row r="75" spans="1:25" ht="15.05">
      <c r="A75" s="243"/>
      <c r="B75" s="244" t="s">
        <v>900</v>
      </c>
      <c r="C75" s="243"/>
      <c r="D75" s="243"/>
      <c r="E75" s="245"/>
      <c r="F75">
        <f>COUNTIF(F$2:F$74,"=X")</f>
        <v>33</v>
      </c>
      <c r="G75" s="243"/>
      <c r="H75" s="243"/>
      <c r="I75" s="246"/>
      <c r="J75" s="243"/>
      <c r="K75" s="243"/>
      <c r="L75" s="243"/>
      <c r="M75" s="243"/>
      <c r="N75" s="243"/>
      <c r="O75" s="243"/>
      <c r="P75" s="243"/>
      <c r="Q75" s="243"/>
      <c r="R75" s="243"/>
      <c r="S75" s="243"/>
      <c r="T75" s="243"/>
      <c r="U75" s="245"/>
      <c r="V75" s="246"/>
      <c r="W75" s="246"/>
      <c r="X75" s="246"/>
      <c r="Y75" s="246"/>
    </row>
    <row r="76" spans="1:25" ht="12.55">
      <c r="B76" s="5" t="s">
        <v>43</v>
      </c>
      <c r="C76">
        <f t="shared" ref="C76:D76" si="23">COUNTIF(C$2:C$74,"=Brauer")</f>
        <v>18</v>
      </c>
      <c r="D76">
        <f t="shared" si="23"/>
        <v>21</v>
      </c>
      <c r="E76" s="248"/>
      <c r="G76">
        <f t="shared" ref="G76:H76" si="24">COUNTIF(G$2:G$74,"=Brauer")</f>
        <v>2</v>
      </c>
      <c r="H76">
        <f t="shared" si="24"/>
        <v>15</v>
      </c>
      <c r="U76" s="248"/>
    </row>
    <row r="77" spans="1:25" ht="12.55">
      <c r="B77" s="5" t="s">
        <v>40</v>
      </c>
      <c r="C77">
        <f t="shared" ref="C77:D77" si="25">COUNTIF(C$2:C$74,"=Buchholz")</f>
        <v>16</v>
      </c>
      <c r="D77">
        <f t="shared" si="25"/>
        <v>12</v>
      </c>
      <c r="E77" s="248"/>
      <c r="F77" s="248"/>
      <c r="G77">
        <f t="shared" ref="G77:H77" si="26">COUNTIF(G$2:G$74,"=Buchholz")</f>
        <v>4</v>
      </c>
      <c r="H77">
        <f t="shared" si="26"/>
        <v>21</v>
      </c>
      <c r="U77" s="248"/>
    </row>
    <row r="78" spans="1:25" ht="12.55">
      <c r="B78" s="5" t="s">
        <v>46</v>
      </c>
      <c r="C78">
        <f t="shared" ref="C78:D78" si="27">COUNTIF(C$2:C$74,"=Gran")</f>
        <v>17</v>
      </c>
      <c r="D78">
        <f t="shared" si="27"/>
        <v>18</v>
      </c>
      <c r="E78" s="248"/>
      <c r="F78" s="248"/>
      <c r="G78">
        <f t="shared" ref="G78:H78" si="28">COUNTIF(G$2:G$74,"=Gran")</f>
        <v>16</v>
      </c>
      <c r="H78">
        <f t="shared" si="28"/>
        <v>8</v>
      </c>
      <c r="U78" s="248"/>
    </row>
    <row r="79" spans="1:25" ht="12.55">
      <c r="B79" s="5" t="s">
        <v>63</v>
      </c>
      <c r="C79">
        <f t="shared" ref="C79:D79" si="29">COUNTIF(C$2:C$74,"=Pautz")</f>
        <v>11</v>
      </c>
      <c r="D79">
        <f t="shared" si="29"/>
        <v>2</v>
      </c>
      <c r="E79" s="248"/>
      <c r="F79" s="248"/>
      <c r="G79">
        <f t="shared" ref="G79:H79" si="30">COUNTIF(G$2:G$74,"=Pautz")</f>
        <v>0</v>
      </c>
      <c r="H79">
        <f t="shared" si="30"/>
        <v>1</v>
      </c>
      <c r="U79" s="248"/>
    </row>
    <row r="80" spans="1:25" ht="12.55">
      <c r="E80" s="248"/>
      <c r="F80" s="248"/>
      <c r="U80" s="248"/>
    </row>
    <row r="81" spans="5:21" ht="12.55">
      <c r="E81" s="248"/>
      <c r="F81" s="248"/>
      <c r="U81" s="248"/>
    </row>
    <row r="82" spans="5:21" ht="12.55">
      <c r="E82" s="248"/>
      <c r="F82" s="248"/>
      <c r="U82" s="248"/>
    </row>
    <row r="83" spans="5:21" ht="12.55">
      <c r="E83" s="248"/>
      <c r="F83" s="248"/>
      <c r="U83" s="248"/>
    </row>
    <row r="84" spans="5:21" ht="12.55">
      <c r="E84" s="248"/>
      <c r="F84" s="248"/>
      <c r="U84" s="248"/>
    </row>
    <row r="85" spans="5:21" ht="12.55">
      <c r="E85" s="248"/>
      <c r="F85" s="248"/>
      <c r="U85" s="248"/>
    </row>
    <row r="86" spans="5:21" ht="12.55">
      <c r="E86" s="248"/>
      <c r="F86" s="248"/>
      <c r="U86" s="248"/>
    </row>
    <row r="87" spans="5:21" ht="12.55">
      <c r="E87" s="248"/>
      <c r="F87" s="248"/>
      <c r="U87" s="248"/>
    </row>
    <row r="88" spans="5:21" ht="12.55">
      <c r="E88" s="248"/>
      <c r="F88" s="248"/>
      <c r="U88" s="248"/>
    </row>
    <row r="89" spans="5:21" ht="12.55">
      <c r="E89" s="248"/>
      <c r="F89" s="248"/>
      <c r="U89" s="248"/>
    </row>
    <row r="90" spans="5:21" ht="12.55">
      <c r="E90" s="248"/>
      <c r="F90" s="248"/>
      <c r="U90" s="248"/>
    </row>
    <row r="91" spans="5:21" ht="12.55">
      <c r="E91" s="248"/>
      <c r="F91" s="248"/>
      <c r="U91" s="248"/>
    </row>
    <row r="92" spans="5:21" ht="12.55">
      <c r="E92" s="248"/>
      <c r="F92" s="248"/>
      <c r="U92" s="248"/>
    </row>
    <row r="93" spans="5:21" ht="12.55">
      <c r="E93" s="248"/>
      <c r="F93" s="248"/>
      <c r="U93" s="248"/>
    </row>
    <row r="94" spans="5:21" ht="12.55">
      <c r="E94" s="248"/>
      <c r="F94" s="248"/>
      <c r="U94" s="248"/>
    </row>
    <row r="95" spans="5:21" ht="12.55">
      <c r="E95" s="248"/>
      <c r="F95" s="248"/>
      <c r="U95" s="248"/>
    </row>
    <row r="96" spans="5:21" ht="12.55">
      <c r="E96" s="248"/>
      <c r="F96" s="248"/>
      <c r="U96" s="248"/>
    </row>
    <row r="97" spans="5:21" ht="12.55">
      <c r="E97" s="248"/>
      <c r="F97" s="248"/>
      <c r="U97" s="248"/>
    </row>
    <row r="98" spans="5:21" ht="12.55">
      <c r="E98" s="248"/>
      <c r="F98" s="248"/>
      <c r="U98" s="248"/>
    </row>
    <row r="99" spans="5:21" ht="12.55">
      <c r="E99" s="248"/>
      <c r="F99" s="248"/>
      <c r="U99" s="248"/>
    </row>
    <row r="100" spans="5:21" ht="12.55">
      <c r="E100" s="248"/>
      <c r="F100" s="248"/>
      <c r="U100" s="248"/>
    </row>
    <row r="101" spans="5:21" ht="12.55">
      <c r="E101" s="248"/>
      <c r="F101" s="248"/>
      <c r="U101" s="248"/>
    </row>
    <row r="102" spans="5:21" ht="12.55">
      <c r="E102" s="248"/>
      <c r="F102" s="248"/>
      <c r="U102" s="248"/>
    </row>
    <row r="103" spans="5:21" ht="12.55">
      <c r="E103" s="248"/>
      <c r="F103" s="248"/>
      <c r="U103" s="248"/>
    </row>
    <row r="104" spans="5:21" ht="12.55">
      <c r="E104" s="248"/>
      <c r="F104" s="248"/>
      <c r="U104" s="248"/>
    </row>
    <row r="105" spans="5:21" ht="12.55">
      <c r="E105" s="248"/>
      <c r="F105" s="248"/>
      <c r="U105" s="248"/>
    </row>
    <row r="106" spans="5:21" ht="12.55">
      <c r="E106" s="248"/>
      <c r="F106" s="248"/>
      <c r="U106" s="248"/>
    </row>
    <row r="107" spans="5:21" ht="12.55">
      <c r="E107" s="248"/>
      <c r="F107" s="248"/>
      <c r="U107" s="248"/>
    </row>
    <row r="108" spans="5:21" ht="12.55">
      <c r="E108" s="248"/>
      <c r="F108" s="248"/>
      <c r="U108" s="248"/>
    </row>
    <row r="109" spans="5:21" ht="12.55">
      <c r="E109" s="248"/>
      <c r="F109" s="248"/>
      <c r="U109" s="248"/>
    </row>
    <row r="110" spans="5:21" ht="12.55">
      <c r="E110" s="248"/>
      <c r="F110" s="248"/>
      <c r="U110" s="248"/>
    </row>
    <row r="111" spans="5:21" ht="12.55">
      <c r="E111" s="248"/>
      <c r="F111" s="248"/>
      <c r="U111" s="248"/>
    </row>
    <row r="112" spans="5:21" ht="12.55">
      <c r="E112" s="248"/>
      <c r="F112" s="248"/>
      <c r="U112" s="248"/>
    </row>
    <row r="113" spans="5:21" ht="12.55">
      <c r="E113" s="248"/>
      <c r="F113" s="248"/>
      <c r="U113" s="248"/>
    </row>
    <row r="114" spans="5:21" ht="12.55">
      <c r="E114" s="248"/>
      <c r="F114" s="248"/>
      <c r="U114" s="248"/>
    </row>
    <row r="115" spans="5:21" ht="12.55">
      <c r="E115" s="248"/>
      <c r="F115" s="248"/>
      <c r="U115" s="248"/>
    </row>
    <row r="116" spans="5:21" ht="12.55">
      <c r="E116" s="248"/>
      <c r="F116" s="248"/>
      <c r="U116" s="248"/>
    </row>
    <row r="117" spans="5:21" ht="12.55">
      <c r="E117" s="248"/>
      <c r="F117" s="248"/>
      <c r="U117" s="248"/>
    </row>
    <row r="118" spans="5:21" ht="12.55">
      <c r="E118" s="248"/>
      <c r="F118" s="248"/>
      <c r="U118" s="248"/>
    </row>
    <row r="119" spans="5:21" ht="12.55">
      <c r="E119" s="248"/>
      <c r="F119" s="248"/>
      <c r="U119" s="248"/>
    </row>
    <row r="120" spans="5:21" ht="12.55">
      <c r="E120" s="248"/>
      <c r="F120" s="248"/>
      <c r="U120" s="248"/>
    </row>
    <row r="121" spans="5:21" ht="12.55">
      <c r="E121" s="248"/>
      <c r="F121" s="248"/>
      <c r="U121" s="248"/>
    </row>
    <row r="122" spans="5:21" ht="12.55">
      <c r="E122" s="248"/>
      <c r="F122" s="248"/>
      <c r="U122" s="248"/>
    </row>
    <row r="123" spans="5:21" ht="12.55">
      <c r="E123" s="248"/>
      <c r="F123" s="248"/>
      <c r="U123" s="248"/>
    </row>
    <row r="124" spans="5:21" ht="12.55">
      <c r="E124" s="248"/>
      <c r="F124" s="248"/>
      <c r="U124" s="248"/>
    </row>
    <row r="125" spans="5:21" ht="12.55">
      <c r="E125" s="248"/>
      <c r="F125" s="248"/>
      <c r="U125" s="248"/>
    </row>
    <row r="126" spans="5:21" ht="12.55">
      <c r="E126" s="248"/>
      <c r="F126" s="248"/>
      <c r="U126" s="248"/>
    </row>
    <row r="127" spans="5:21" ht="12.55">
      <c r="E127" s="248"/>
      <c r="F127" s="248"/>
      <c r="U127" s="248"/>
    </row>
    <row r="128" spans="5:21" ht="12.55">
      <c r="E128" s="248"/>
      <c r="F128" s="248"/>
      <c r="U128" s="248"/>
    </row>
    <row r="129" spans="5:21" ht="12.55">
      <c r="E129" s="248"/>
      <c r="F129" s="248"/>
      <c r="U129" s="248"/>
    </row>
    <row r="130" spans="5:21" ht="12.55">
      <c r="E130" s="248"/>
      <c r="F130" s="248"/>
      <c r="U130" s="248"/>
    </row>
    <row r="131" spans="5:21" ht="12.55">
      <c r="E131" s="248"/>
      <c r="F131" s="248"/>
      <c r="U131" s="248"/>
    </row>
    <row r="132" spans="5:21" ht="12.55">
      <c r="E132" s="248"/>
      <c r="F132" s="248"/>
      <c r="U132" s="248"/>
    </row>
    <row r="133" spans="5:21" ht="12.55">
      <c r="E133" s="248"/>
      <c r="F133" s="248"/>
      <c r="U133" s="248"/>
    </row>
    <row r="134" spans="5:21" ht="12.55">
      <c r="E134" s="248"/>
      <c r="F134" s="248"/>
      <c r="U134" s="248"/>
    </row>
    <row r="135" spans="5:21" ht="12.55">
      <c r="E135" s="248"/>
      <c r="F135" s="248"/>
      <c r="U135" s="248"/>
    </row>
    <row r="136" spans="5:21" ht="12.55">
      <c r="E136" s="248"/>
      <c r="F136" s="248"/>
      <c r="U136" s="248"/>
    </row>
    <row r="137" spans="5:21" ht="12.55">
      <c r="E137" s="248"/>
      <c r="F137" s="248"/>
      <c r="U137" s="248"/>
    </row>
    <row r="138" spans="5:21" ht="12.55">
      <c r="E138" s="248"/>
      <c r="F138" s="248"/>
      <c r="U138" s="248"/>
    </row>
    <row r="139" spans="5:21" ht="12.55">
      <c r="E139" s="248"/>
      <c r="F139" s="248"/>
      <c r="U139" s="248"/>
    </row>
    <row r="140" spans="5:21" ht="12.55">
      <c r="E140" s="248"/>
      <c r="F140" s="248"/>
      <c r="U140" s="248"/>
    </row>
    <row r="141" spans="5:21" ht="12.55">
      <c r="E141" s="248"/>
      <c r="F141" s="248"/>
      <c r="U141" s="248"/>
    </row>
    <row r="142" spans="5:21" ht="12.55">
      <c r="E142" s="248"/>
      <c r="F142" s="248"/>
      <c r="U142" s="248"/>
    </row>
    <row r="143" spans="5:21" ht="12.55">
      <c r="E143" s="248"/>
      <c r="F143" s="248"/>
      <c r="U143" s="248"/>
    </row>
    <row r="144" spans="5:21" ht="12.55">
      <c r="E144" s="248"/>
      <c r="F144" s="248"/>
      <c r="U144" s="248"/>
    </row>
    <row r="145" spans="5:21" ht="12.55">
      <c r="E145" s="248"/>
      <c r="F145" s="248"/>
      <c r="U145" s="248"/>
    </row>
    <row r="146" spans="5:21" ht="12.55">
      <c r="E146" s="248"/>
      <c r="F146" s="248"/>
      <c r="U146" s="248"/>
    </row>
    <row r="147" spans="5:21" ht="12.55">
      <c r="E147" s="248"/>
      <c r="F147" s="248"/>
      <c r="U147" s="248"/>
    </row>
    <row r="148" spans="5:21" ht="12.55">
      <c r="E148" s="248"/>
      <c r="F148" s="248"/>
      <c r="U148" s="248"/>
    </row>
    <row r="149" spans="5:21" ht="12.55">
      <c r="E149" s="248"/>
      <c r="F149" s="248"/>
      <c r="U149" s="248"/>
    </row>
    <row r="150" spans="5:21" ht="12.55">
      <c r="E150" s="248"/>
      <c r="F150" s="248"/>
      <c r="U150" s="248"/>
    </row>
    <row r="151" spans="5:21" ht="12.55">
      <c r="E151" s="248"/>
      <c r="F151" s="248"/>
      <c r="U151" s="248"/>
    </row>
    <row r="152" spans="5:21" ht="12.55">
      <c r="E152" s="248"/>
      <c r="F152" s="248"/>
      <c r="U152" s="248"/>
    </row>
    <row r="153" spans="5:21" ht="12.55">
      <c r="E153" s="248"/>
      <c r="F153" s="248"/>
      <c r="U153" s="248"/>
    </row>
    <row r="154" spans="5:21" ht="12.55">
      <c r="E154" s="248"/>
      <c r="F154" s="248"/>
      <c r="U154" s="248"/>
    </row>
    <row r="155" spans="5:21" ht="12.55">
      <c r="E155" s="248"/>
      <c r="F155" s="248"/>
      <c r="U155" s="248"/>
    </row>
    <row r="156" spans="5:21" ht="12.55">
      <c r="E156" s="248"/>
      <c r="F156" s="248"/>
      <c r="U156" s="248"/>
    </row>
    <row r="157" spans="5:21" ht="12.55">
      <c r="E157" s="248"/>
      <c r="F157" s="248"/>
      <c r="U157" s="248"/>
    </row>
    <row r="158" spans="5:21" ht="12.55">
      <c r="E158" s="248"/>
      <c r="F158" s="248"/>
      <c r="U158" s="248"/>
    </row>
    <row r="159" spans="5:21" ht="12.55">
      <c r="E159" s="248"/>
      <c r="F159" s="248"/>
      <c r="U159" s="248"/>
    </row>
    <row r="160" spans="5:21" ht="12.55">
      <c r="E160" s="248"/>
      <c r="F160" s="248"/>
      <c r="U160" s="248"/>
    </row>
    <row r="161" spans="5:21" ht="12.55">
      <c r="E161" s="248"/>
      <c r="F161" s="248"/>
      <c r="U161" s="248"/>
    </row>
    <row r="162" spans="5:21" ht="12.55">
      <c r="E162" s="248"/>
      <c r="F162" s="248"/>
      <c r="U162" s="248"/>
    </row>
    <row r="163" spans="5:21" ht="12.55">
      <c r="E163" s="248"/>
      <c r="F163" s="248"/>
      <c r="U163" s="248"/>
    </row>
    <row r="164" spans="5:21" ht="12.55">
      <c r="E164" s="248"/>
      <c r="F164" s="248"/>
      <c r="U164" s="248"/>
    </row>
    <row r="165" spans="5:21" ht="12.55">
      <c r="E165" s="248"/>
      <c r="F165" s="248"/>
      <c r="U165" s="248"/>
    </row>
    <row r="166" spans="5:21" ht="12.55">
      <c r="E166" s="248"/>
      <c r="F166" s="248"/>
      <c r="U166" s="248"/>
    </row>
    <row r="167" spans="5:21" ht="12.55">
      <c r="E167" s="248"/>
      <c r="F167" s="248"/>
      <c r="U167" s="248"/>
    </row>
    <row r="168" spans="5:21" ht="12.55">
      <c r="E168" s="248"/>
      <c r="F168" s="248"/>
      <c r="U168" s="248"/>
    </row>
    <row r="169" spans="5:21" ht="12.55">
      <c r="E169" s="248"/>
      <c r="F169" s="248"/>
      <c r="U169" s="248"/>
    </row>
    <row r="170" spans="5:21" ht="12.55">
      <c r="E170" s="248"/>
      <c r="F170" s="248"/>
      <c r="U170" s="248"/>
    </row>
    <row r="171" spans="5:21" ht="12.55">
      <c r="E171" s="248"/>
      <c r="F171" s="248"/>
      <c r="U171" s="248"/>
    </row>
    <row r="172" spans="5:21" ht="12.55">
      <c r="E172" s="248"/>
      <c r="F172" s="248"/>
      <c r="U172" s="248"/>
    </row>
    <row r="173" spans="5:21" ht="12.55">
      <c r="E173" s="248"/>
      <c r="F173" s="248"/>
      <c r="U173" s="248"/>
    </row>
    <row r="174" spans="5:21" ht="12.55">
      <c r="E174" s="248"/>
      <c r="F174" s="248"/>
      <c r="U174" s="248"/>
    </row>
    <row r="175" spans="5:21" ht="12.55">
      <c r="E175" s="248"/>
      <c r="F175" s="248"/>
      <c r="U175" s="248"/>
    </row>
    <row r="176" spans="5:21" ht="12.55">
      <c r="E176" s="248"/>
      <c r="F176" s="248"/>
      <c r="U176" s="248"/>
    </row>
    <row r="177" spans="5:21" ht="12.55">
      <c r="E177" s="248"/>
      <c r="F177" s="248"/>
      <c r="U177" s="248"/>
    </row>
    <row r="178" spans="5:21" ht="12.55">
      <c r="E178" s="248"/>
      <c r="F178" s="248"/>
      <c r="U178" s="248"/>
    </row>
    <row r="179" spans="5:21" ht="12.55">
      <c r="E179" s="248"/>
      <c r="F179" s="248"/>
      <c r="U179" s="248"/>
    </row>
    <row r="180" spans="5:21" ht="12.55">
      <c r="E180" s="248"/>
      <c r="F180" s="248"/>
      <c r="U180" s="248"/>
    </row>
    <row r="181" spans="5:21" ht="12.55">
      <c r="E181" s="248"/>
      <c r="F181" s="248"/>
      <c r="U181" s="248"/>
    </row>
    <row r="182" spans="5:21" ht="12.55">
      <c r="E182" s="248"/>
      <c r="F182" s="248"/>
      <c r="U182" s="248"/>
    </row>
    <row r="183" spans="5:21" ht="12.55">
      <c r="E183" s="248"/>
      <c r="F183" s="248"/>
      <c r="U183" s="248"/>
    </row>
    <row r="184" spans="5:21" ht="12.55">
      <c r="E184" s="248"/>
      <c r="F184" s="248"/>
      <c r="U184" s="248"/>
    </row>
    <row r="185" spans="5:21" ht="12.55">
      <c r="E185" s="248"/>
      <c r="F185" s="248"/>
      <c r="U185" s="248"/>
    </row>
    <row r="186" spans="5:21" ht="12.55">
      <c r="E186" s="248"/>
      <c r="F186" s="248"/>
      <c r="U186" s="248"/>
    </row>
    <row r="187" spans="5:21" ht="12.55">
      <c r="E187" s="248"/>
      <c r="F187" s="248"/>
      <c r="U187" s="248"/>
    </row>
    <row r="188" spans="5:21" ht="12.55">
      <c r="E188" s="248"/>
      <c r="F188" s="248"/>
      <c r="U188" s="248"/>
    </row>
    <row r="189" spans="5:21" ht="12.55">
      <c r="E189" s="248"/>
      <c r="F189" s="248"/>
      <c r="U189" s="248"/>
    </row>
    <row r="190" spans="5:21" ht="12.55">
      <c r="E190" s="248"/>
      <c r="F190" s="248"/>
      <c r="U190" s="248"/>
    </row>
    <row r="191" spans="5:21" ht="12.55">
      <c r="E191" s="248"/>
      <c r="F191" s="248"/>
      <c r="U191" s="248"/>
    </row>
    <row r="192" spans="5:21" ht="12.55">
      <c r="E192" s="248"/>
      <c r="F192" s="248"/>
      <c r="U192" s="248"/>
    </row>
    <row r="193" spans="5:21" ht="12.55">
      <c r="E193" s="248"/>
      <c r="F193" s="248"/>
      <c r="U193" s="248"/>
    </row>
    <row r="194" spans="5:21" ht="12.55">
      <c r="E194" s="248"/>
      <c r="F194" s="248"/>
      <c r="U194" s="248"/>
    </row>
    <row r="195" spans="5:21" ht="12.55">
      <c r="E195" s="248"/>
      <c r="F195" s="248"/>
      <c r="U195" s="248"/>
    </row>
    <row r="196" spans="5:21" ht="12.55">
      <c r="E196" s="248"/>
      <c r="F196" s="248"/>
      <c r="U196" s="248"/>
    </row>
    <row r="197" spans="5:21" ht="12.55">
      <c r="E197" s="248"/>
      <c r="F197" s="248"/>
      <c r="U197" s="248"/>
    </row>
    <row r="198" spans="5:21" ht="12.55">
      <c r="E198" s="248"/>
      <c r="F198" s="248"/>
      <c r="U198" s="248"/>
    </row>
    <row r="199" spans="5:21" ht="12.55">
      <c r="E199" s="248"/>
      <c r="F199" s="248"/>
      <c r="U199" s="248"/>
    </row>
    <row r="200" spans="5:21" ht="12.55">
      <c r="E200" s="248"/>
      <c r="F200" s="248"/>
      <c r="U200" s="248"/>
    </row>
    <row r="201" spans="5:21" ht="12.55">
      <c r="E201" s="248"/>
      <c r="F201" s="248"/>
      <c r="U201" s="248"/>
    </row>
    <row r="202" spans="5:21" ht="12.55">
      <c r="E202" s="248"/>
      <c r="F202" s="248"/>
      <c r="U202" s="248"/>
    </row>
    <row r="203" spans="5:21" ht="12.55">
      <c r="E203" s="248"/>
      <c r="F203" s="248"/>
      <c r="U203" s="248"/>
    </row>
    <row r="204" spans="5:21" ht="12.55">
      <c r="E204" s="248"/>
      <c r="F204" s="248"/>
      <c r="U204" s="248"/>
    </row>
    <row r="205" spans="5:21" ht="12.55">
      <c r="E205" s="248"/>
      <c r="F205" s="248"/>
      <c r="U205" s="248"/>
    </row>
    <row r="206" spans="5:21" ht="12.55">
      <c r="E206" s="248"/>
      <c r="F206" s="248"/>
      <c r="U206" s="248"/>
    </row>
    <row r="207" spans="5:21" ht="12.55">
      <c r="E207" s="248"/>
      <c r="F207" s="248"/>
      <c r="U207" s="248"/>
    </row>
    <row r="208" spans="5:21" ht="12.55">
      <c r="E208" s="248"/>
      <c r="F208" s="248"/>
      <c r="U208" s="248"/>
    </row>
    <row r="209" spans="5:21" ht="12.55">
      <c r="E209" s="248"/>
      <c r="F209" s="248"/>
      <c r="U209" s="248"/>
    </row>
    <row r="210" spans="5:21" ht="12.55">
      <c r="E210" s="248"/>
      <c r="F210" s="248"/>
      <c r="U210" s="248"/>
    </row>
    <row r="211" spans="5:21" ht="12.55">
      <c r="E211" s="248"/>
      <c r="F211" s="248"/>
      <c r="U211" s="248"/>
    </row>
    <row r="212" spans="5:21" ht="12.55">
      <c r="E212" s="248"/>
      <c r="F212" s="248"/>
      <c r="U212" s="248"/>
    </row>
    <row r="213" spans="5:21" ht="12.55">
      <c r="E213" s="248"/>
      <c r="F213" s="248"/>
      <c r="U213" s="248"/>
    </row>
    <row r="214" spans="5:21" ht="12.55">
      <c r="E214" s="248"/>
      <c r="F214" s="248"/>
      <c r="U214" s="248"/>
    </row>
    <row r="215" spans="5:21" ht="12.55">
      <c r="E215" s="248"/>
      <c r="F215" s="248"/>
      <c r="U215" s="248"/>
    </row>
    <row r="216" spans="5:21" ht="12.55">
      <c r="E216" s="248"/>
      <c r="F216" s="248"/>
      <c r="U216" s="248"/>
    </row>
    <row r="217" spans="5:21" ht="12.55">
      <c r="E217" s="248"/>
      <c r="F217" s="248"/>
      <c r="U217" s="248"/>
    </row>
    <row r="218" spans="5:21" ht="12.55">
      <c r="E218" s="248"/>
      <c r="F218" s="248"/>
      <c r="U218" s="248"/>
    </row>
    <row r="219" spans="5:21" ht="12.55">
      <c r="E219" s="248"/>
      <c r="F219" s="248"/>
      <c r="U219" s="248"/>
    </row>
    <row r="220" spans="5:21" ht="12.55">
      <c r="E220" s="248"/>
      <c r="F220" s="248"/>
      <c r="U220" s="248"/>
    </row>
    <row r="221" spans="5:21" ht="12.55">
      <c r="E221" s="248"/>
      <c r="F221" s="248"/>
      <c r="U221" s="248"/>
    </row>
    <row r="222" spans="5:21" ht="12.55">
      <c r="E222" s="248"/>
      <c r="F222" s="248"/>
      <c r="U222" s="248"/>
    </row>
    <row r="223" spans="5:21" ht="12.55">
      <c r="E223" s="248"/>
      <c r="F223" s="248"/>
      <c r="U223" s="248"/>
    </row>
    <row r="224" spans="5:21" ht="12.55">
      <c r="E224" s="248"/>
      <c r="F224" s="248"/>
      <c r="U224" s="248"/>
    </row>
    <row r="225" spans="5:21" ht="12.55">
      <c r="E225" s="248"/>
      <c r="F225" s="248"/>
      <c r="U225" s="248"/>
    </row>
    <row r="226" spans="5:21" ht="12.55">
      <c r="E226" s="248"/>
      <c r="F226" s="248"/>
      <c r="U226" s="248"/>
    </row>
    <row r="227" spans="5:21" ht="12.55">
      <c r="E227" s="248"/>
      <c r="F227" s="248"/>
      <c r="U227" s="248"/>
    </row>
    <row r="228" spans="5:21" ht="12.55">
      <c r="E228" s="248"/>
      <c r="F228" s="248"/>
      <c r="U228" s="248"/>
    </row>
    <row r="229" spans="5:21" ht="12.55">
      <c r="E229" s="248"/>
      <c r="F229" s="248"/>
      <c r="U229" s="248"/>
    </row>
    <row r="230" spans="5:21" ht="12.55">
      <c r="E230" s="248"/>
      <c r="F230" s="248"/>
      <c r="U230" s="248"/>
    </row>
    <row r="231" spans="5:21" ht="12.55">
      <c r="E231" s="248"/>
      <c r="F231" s="248"/>
      <c r="U231" s="248"/>
    </row>
    <row r="232" spans="5:21" ht="12.55">
      <c r="E232" s="248"/>
      <c r="F232" s="248"/>
      <c r="U232" s="248"/>
    </row>
    <row r="233" spans="5:21" ht="12.55">
      <c r="E233" s="248"/>
      <c r="F233" s="248"/>
      <c r="U233" s="248"/>
    </row>
    <row r="234" spans="5:21" ht="12.55">
      <c r="E234" s="248"/>
      <c r="F234" s="248"/>
      <c r="U234" s="248"/>
    </row>
    <row r="235" spans="5:21" ht="12.55">
      <c r="E235" s="248"/>
      <c r="F235" s="248"/>
      <c r="U235" s="248"/>
    </row>
    <row r="236" spans="5:21" ht="12.55">
      <c r="E236" s="248"/>
      <c r="F236" s="248"/>
      <c r="U236" s="248"/>
    </row>
    <row r="237" spans="5:21" ht="12.55">
      <c r="E237" s="248"/>
      <c r="F237" s="248"/>
      <c r="U237" s="248"/>
    </row>
    <row r="238" spans="5:21" ht="12.55">
      <c r="E238" s="248"/>
      <c r="F238" s="248"/>
      <c r="U238" s="248"/>
    </row>
    <row r="239" spans="5:21" ht="12.55">
      <c r="E239" s="248"/>
      <c r="F239" s="248"/>
      <c r="U239" s="248"/>
    </row>
    <row r="240" spans="5:21" ht="12.55">
      <c r="E240" s="248"/>
      <c r="F240" s="248"/>
      <c r="U240" s="248"/>
    </row>
    <row r="241" spans="5:21" ht="12.55">
      <c r="E241" s="248"/>
      <c r="F241" s="248"/>
      <c r="U241" s="248"/>
    </row>
    <row r="242" spans="5:21" ht="12.55">
      <c r="E242" s="248"/>
      <c r="F242" s="248"/>
      <c r="U242" s="248"/>
    </row>
    <row r="243" spans="5:21" ht="12.55">
      <c r="E243" s="248"/>
      <c r="F243" s="248"/>
      <c r="U243" s="248"/>
    </row>
    <row r="244" spans="5:21" ht="12.55">
      <c r="E244" s="248"/>
      <c r="F244" s="248"/>
      <c r="U244" s="248"/>
    </row>
    <row r="245" spans="5:21" ht="12.55">
      <c r="E245" s="248"/>
      <c r="F245" s="248"/>
      <c r="U245" s="248"/>
    </row>
    <row r="246" spans="5:21" ht="12.55">
      <c r="E246" s="248"/>
      <c r="F246" s="248"/>
      <c r="U246" s="248"/>
    </row>
    <row r="247" spans="5:21" ht="12.55">
      <c r="E247" s="248"/>
      <c r="F247" s="248"/>
      <c r="U247" s="248"/>
    </row>
    <row r="248" spans="5:21" ht="12.55">
      <c r="E248" s="248"/>
      <c r="F248" s="248"/>
      <c r="U248" s="248"/>
    </row>
    <row r="249" spans="5:21" ht="12.55">
      <c r="E249" s="248"/>
      <c r="F249" s="248"/>
      <c r="U249" s="248"/>
    </row>
    <row r="250" spans="5:21" ht="12.55">
      <c r="E250" s="248"/>
      <c r="F250" s="248"/>
      <c r="U250" s="248"/>
    </row>
    <row r="251" spans="5:21" ht="12.55">
      <c r="E251" s="248"/>
      <c r="F251" s="248"/>
      <c r="U251" s="248"/>
    </row>
    <row r="252" spans="5:21" ht="12.55">
      <c r="E252" s="248"/>
      <c r="F252" s="248"/>
      <c r="U252" s="248"/>
    </row>
    <row r="253" spans="5:21" ht="12.55">
      <c r="E253" s="248"/>
      <c r="F253" s="248"/>
      <c r="U253" s="248"/>
    </row>
    <row r="254" spans="5:21" ht="12.55">
      <c r="E254" s="248"/>
      <c r="F254" s="248"/>
      <c r="U254" s="248"/>
    </row>
    <row r="255" spans="5:21" ht="12.55">
      <c r="E255" s="248"/>
      <c r="F255" s="248"/>
      <c r="U255" s="248"/>
    </row>
    <row r="256" spans="5:21" ht="12.55">
      <c r="E256" s="248"/>
      <c r="F256" s="248"/>
      <c r="U256" s="248"/>
    </row>
    <row r="257" spans="5:21" ht="12.55">
      <c r="E257" s="248"/>
      <c r="F257" s="248"/>
      <c r="U257" s="248"/>
    </row>
    <row r="258" spans="5:21" ht="12.55">
      <c r="E258" s="248"/>
      <c r="F258" s="248"/>
      <c r="U258" s="248"/>
    </row>
    <row r="259" spans="5:21" ht="12.55">
      <c r="E259" s="248"/>
      <c r="F259" s="248"/>
      <c r="U259" s="248"/>
    </row>
    <row r="260" spans="5:21" ht="12.55">
      <c r="E260" s="248"/>
      <c r="F260" s="248"/>
      <c r="U260" s="248"/>
    </row>
    <row r="261" spans="5:21" ht="12.55">
      <c r="E261" s="248"/>
      <c r="F261" s="248"/>
      <c r="U261" s="248"/>
    </row>
    <row r="262" spans="5:21" ht="12.55">
      <c r="E262" s="248"/>
      <c r="F262" s="248"/>
      <c r="U262" s="248"/>
    </row>
    <row r="263" spans="5:21" ht="12.55">
      <c r="E263" s="248"/>
      <c r="F263" s="248"/>
      <c r="U263" s="248"/>
    </row>
    <row r="264" spans="5:21" ht="12.55">
      <c r="E264" s="248"/>
      <c r="F264" s="248"/>
      <c r="U264" s="248"/>
    </row>
    <row r="265" spans="5:21" ht="12.55">
      <c r="E265" s="248"/>
      <c r="F265" s="248"/>
      <c r="U265" s="248"/>
    </row>
    <row r="266" spans="5:21" ht="12.55">
      <c r="E266" s="248"/>
      <c r="F266" s="248"/>
      <c r="U266" s="248"/>
    </row>
    <row r="267" spans="5:21" ht="12.55">
      <c r="E267" s="248"/>
      <c r="F267" s="248"/>
      <c r="U267" s="248"/>
    </row>
    <row r="268" spans="5:21" ht="12.55">
      <c r="E268" s="248"/>
      <c r="F268" s="248"/>
      <c r="U268" s="248"/>
    </row>
    <row r="269" spans="5:21" ht="12.55">
      <c r="E269" s="248"/>
      <c r="F269" s="248"/>
      <c r="U269" s="248"/>
    </row>
    <row r="270" spans="5:21" ht="12.55">
      <c r="E270" s="248"/>
      <c r="F270" s="248"/>
      <c r="U270" s="248"/>
    </row>
    <row r="271" spans="5:21" ht="12.55">
      <c r="E271" s="248"/>
      <c r="F271" s="248"/>
      <c r="U271" s="248"/>
    </row>
    <row r="272" spans="5:21" ht="12.55">
      <c r="E272" s="248"/>
      <c r="F272" s="248"/>
      <c r="U272" s="248"/>
    </row>
    <row r="273" spans="5:21" ht="12.55">
      <c r="E273" s="248"/>
      <c r="F273" s="248"/>
      <c r="U273" s="248"/>
    </row>
    <row r="274" spans="5:21" ht="12.55">
      <c r="E274" s="248"/>
      <c r="F274" s="248"/>
      <c r="U274" s="248"/>
    </row>
    <row r="275" spans="5:21" ht="12.55">
      <c r="E275" s="248"/>
      <c r="F275" s="248"/>
      <c r="U275" s="248"/>
    </row>
    <row r="276" spans="5:21" ht="12.55">
      <c r="E276" s="248"/>
      <c r="F276" s="248"/>
      <c r="U276" s="248"/>
    </row>
    <row r="277" spans="5:21" ht="12.55">
      <c r="E277" s="248"/>
      <c r="F277" s="248"/>
      <c r="U277" s="248"/>
    </row>
    <row r="278" spans="5:21" ht="12.55">
      <c r="E278" s="248"/>
      <c r="F278" s="248"/>
      <c r="U278" s="248"/>
    </row>
    <row r="279" spans="5:21" ht="12.55">
      <c r="E279" s="248"/>
      <c r="F279" s="248"/>
      <c r="U279" s="248"/>
    </row>
    <row r="280" spans="5:21" ht="12.55">
      <c r="E280" s="248"/>
      <c r="F280" s="248"/>
      <c r="U280" s="248"/>
    </row>
    <row r="281" spans="5:21" ht="12.55">
      <c r="E281" s="248"/>
      <c r="F281" s="248"/>
      <c r="U281" s="248"/>
    </row>
    <row r="282" spans="5:21" ht="12.55">
      <c r="E282" s="248"/>
      <c r="F282" s="248"/>
      <c r="U282" s="248"/>
    </row>
    <row r="283" spans="5:21" ht="12.55">
      <c r="E283" s="248"/>
      <c r="F283" s="248"/>
      <c r="U283" s="248"/>
    </row>
    <row r="284" spans="5:21" ht="12.55">
      <c r="E284" s="248"/>
      <c r="F284" s="248"/>
      <c r="U284" s="248"/>
    </row>
    <row r="285" spans="5:21" ht="12.55">
      <c r="E285" s="248"/>
      <c r="F285" s="248"/>
      <c r="U285" s="248"/>
    </row>
    <row r="286" spans="5:21" ht="12.55">
      <c r="E286" s="248"/>
      <c r="F286" s="248"/>
      <c r="U286" s="248"/>
    </row>
    <row r="287" spans="5:21" ht="12.55">
      <c r="E287" s="248"/>
      <c r="F287" s="248"/>
      <c r="U287" s="248"/>
    </row>
    <row r="288" spans="5:21" ht="12.55">
      <c r="E288" s="248"/>
      <c r="F288" s="248"/>
      <c r="U288" s="248"/>
    </row>
    <row r="289" spans="5:21" ht="12.55">
      <c r="E289" s="248"/>
      <c r="F289" s="248"/>
      <c r="U289" s="248"/>
    </row>
    <row r="290" spans="5:21" ht="12.55">
      <c r="E290" s="248"/>
      <c r="F290" s="248"/>
      <c r="U290" s="248"/>
    </row>
    <row r="291" spans="5:21" ht="12.55">
      <c r="E291" s="248"/>
      <c r="F291" s="248"/>
      <c r="U291" s="248"/>
    </row>
    <row r="292" spans="5:21" ht="12.55">
      <c r="E292" s="248"/>
      <c r="F292" s="248"/>
      <c r="U292" s="248"/>
    </row>
    <row r="293" spans="5:21" ht="12.55">
      <c r="E293" s="248"/>
      <c r="F293" s="248"/>
      <c r="U293" s="248"/>
    </row>
    <row r="294" spans="5:21" ht="12.55">
      <c r="E294" s="248"/>
      <c r="F294" s="248"/>
      <c r="U294" s="248"/>
    </row>
    <row r="295" spans="5:21" ht="12.55">
      <c r="E295" s="248"/>
      <c r="F295" s="248"/>
      <c r="U295" s="248"/>
    </row>
    <row r="296" spans="5:21" ht="12.55">
      <c r="E296" s="248"/>
      <c r="F296" s="248"/>
      <c r="U296" s="248"/>
    </row>
    <row r="297" spans="5:21" ht="12.55">
      <c r="E297" s="248"/>
      <c r="F297" s="248"/>
      <c r="U297" s="248"/>
    </row>
    <row r="298" spans="5:21" ht="12.55">
      <c r="E298" s="248"/>
      <c r="F298" s="248"/>
      <c r="U298" s="248"/>
    </row>
    <row r="299" spans="5:21" ht="12.55">
      <c r="E299" s="248"/>
      <c r="F299" s="248"/>
      <c r="U299" s="248"/>
    </row>
    <row r="300" spans="5:21" ht="12.55">
      <c r="E300" s="248"/>
      <c r="F300" s="248"/>
      <c r="U300" s="248"/>
    </row>
    <row r="301" spans="5:21" ht="12.55">
      <c r="E301" s="248"/>
      <c r="F301" s="248"/>
      <c r="U301" s="248"/>
    </row>
    <row r="302" spans="5:21" ht="12.55">
      <c r="E302" s="248"/>
      <c r="F302" s="248"/>
      <c r="U302" s="248"/>
    </row>
    <row r="303" spans="5:21" ht="12.55">
      <c r="E303" s="248"/>
      <c r="F303" s="248"/>
      <c r="U303" s="248"/>
    </row>
    <row r="304" spans="5:21" ht="12.55">
      <c r="E304" s="248"/>
      <c r="F304" s="248"/>
      <c r="U304" s="248"/>
    </row>
    <row r="305" spans="5:21" ht="12.55">
      <c r="E305" s="248"/>
      <c r="F305" s="248"/>
      <c r="U305" s="248"/>
    </row>
    <row r="306" spans="5:21" ht="12.55">
      <c r="E306" s="248"/>
      <c r="F306" s="248"/>
      <c r="U306" s="248"/>
    </row>
    <row r="307" spans="5:21" ht="12.55">
      <c r="E307" s="248"/>
      <c r="F307" s="248"/>
      <c r="U307" s="248"/>
    </row>
    <row r="308" spans="5:21" ht="12.55">
      <c r="E308" s="248"/>
      <c r="F308" s="248"/>
      <c r="U308" s="248"/>
    </row>
    <row r="309" spans="5:21" ht="12.55">
      <c r="E309" s="248"/>
      <c r="F309" s="248"/>
      <c r="U309" s="248"/>
    </row>
    <row r="310" spans="5:21" ht="12.55">
      <c r="E310" s="248"/>
      <c r="F310" s="248"/>
      <c r="U310" s="248"/>
    </row>
    <row r="311" spans="5:21" ht="12.55">
      <c r="E311" s="248"/>
      <c r="F311" s="248"/>
      <c r="U311" s="248"/>
    </row>
    <row r="312" spans="5:21" ht="12.55">
      <c r="E312" s="248"/>
      <c r="F312" s="248"/>
      <c r="U312" s="248"/>
    </row>
    <row r="313" spans="5:21" ht="12.55">
      <c r="E313" s="248"/>
      <c r="F313" s="248"/>
      <c r="U313" s="248"/>
    </row>
    <row r="314" spans="5:21" ht="12.55">
      <c r="E314" s="248"/>
      <c r="F314" s="248"/>
      <c r="U314" s="248"/>
    </row>
    <row r="315" spans="5:21" ht="12.55">
      <c r="E315" s="248"/>
      <c r="F315" s="248"/>
      <c r="U315" s="248"/>
    </row>
    <row r="316" spans="5:21" ht="12.55">
      <c r="E316" s="248"/>
      <c r="F316" s="248"/>
      <c r="U316" s="248"/>
    </row>
    <row r="317" spans="5:21" ht="12.55">
      <c r="E317" s="248"/>
      <c r="F317" s="248"/>
      <c r="U317" s="248"/>
    </row>
    <row r="318" spans="5:21" ht="12.55">
      <c r="E318" s="248"/>
      <c r="F318" s="248"/>
      <c r="U318" s="248"/>
    </row>
    <row r="319" spans="5:21" ht="12.55">
      <c r="E319" s="248"/>
      <c r="F319" s="248"/>
      <c r="U319" s="248"/>
    </row>
    <row r="320" spans="5:21" ht="12.55">
      <c r="E320" s="248"/>
      <c r="F320" s="248"/>
      <c r="U320" s="248"/>
    </row>
    <row r="321" spans="5:21" ht="12.55">
      <c r="E321" s="248"/>
      <c r="F321" s="248"/>
      <c r="U321" s="248"/>
    </row>
    <row r="322" spans="5:21" ht="12.55">
      <c r="E322" s="248"/>
      <c r="F322" s="248"/>
      <c r="U322" s="248"/>
    </row>
    <row r="323" spans="5:21" ht="12.55">
      <c r="E323" s="248"/>
      <c r="F323" s="248"/>
      <c r="U323" s="248"/>
    </row>
    <row r="324" spans="5:21" ht="12.55">
      <c r="E324" s="248"/>
      <c r="F324" s="248"/>
      <c r="U324" s="248"/>
    </row>
    <row r="325" spans="5:21" ht="12.55">
      <c r="E325" s="248"/>
      <c r="F325" s="248"/>
      <c r="U325" s="248"/>
    </row>
    <row r="326" spans="5:21" ht="12.55">
      <c r="E326" s="248"/>
      <c r="F326" s="248"/>
      <c r="U326" s="248"/>
    </row>
    <row r="327" spans="5:21" ht="12.55">
      <c r="E327" s="248"/>
      <c r="F327" s="248"/>
      <c r="U327" s="248"/>
    </row>
    <row r="328" spans="5:21" ht="12.55">
      <c r="E328" s="248"/>
      <c r="F328" s="248"/>
      <c r="U328" s="248"/>
    </row>
    <row r="329" spans="5:21" ht="12.55">
      <c r="E329" s="248"/>
      <c r="F329" s="248"/>
      <c r="U329" s="248"/>
    </row>
    <row r="330" spans="5:21" ht="12.55">
      <c r="E330" s="248"/>
      <c r="F330" s="248"/>
      <c r="U330" s="248"/>
    </row>
    <row r="331" spans="5:21" ht="12.55">
      <c r="E331" s="248"/>
      <c r="F331" s="248"/>
      <c r="U331" s="248"/>
    </row>
    <row r="332" spans="5:21" ht="12.55">
      <c r="E332" s="248"/>
      <c r="F332" s="248"/>
      <c r="U332" s="248"/>
    </row>
    <row r="333" spans="5:21" ht="12.55">
      <c r="E333" s="248"/>
      <c r="F333" s="248"/>
      <c r="U333" s="248"/>
    </row>
    <row r="334" spans="5:21" ht="12.55">
      <c r="E334" s="248"/>
      <c r="F334" s="248"/>
      <c r="U334" s="248"/>
    </row>
    <row r="335" spans="5:21" ht="12.55">
      <c r="E335" s="248"/>
      <c r="F335" s="248"/>
      <c r="U335" s="248"/>
    </row>
    <row r="336" spans="5:21" ht="12.55">
      <c r="E336" s="248"/>
      <c r="F336" s="248"/>
      <c r="U336" s="248"/>
    </row>
    <row r="337" spans="5:21" ht="12.55">
      <c r="E337" s="248"/>
      <c r="F337" s="248"/>
      <c r="U337" s="248"/>
    </row>
    <row r="338" spans="5:21" ht="12.55">
      <c r="E338" s="248"/>
      <c r="F338" s="248"/>
      <c r="U338" s="248"/>
    </row>
    <row r="339" spans="5:21" ht="12.55">
      <c r="E339" s="248"/>
      <c r="F339" s="248"/>
      <c r="U339" s="248"/>
    </row>
    <row r="340" spans="5:21" ht="12.55">
      <c r="E340" s="248"/>
      <c r="F340" s="248"/>
      <c r="U340" s="248"/>
    </row>
    <row r="341" spans="5:21" ht="12.55">
      <c r="E341" s="248"/>
      <c r="F341" s="248"/>
      <c r="U341" s="248"/>
    </row>
    <row r="342" spans="5:21" ht="12.55">
      <c r="E342" s="248"/>
      <c r="F342" s="248"/>
      <c r="U342" s="248"/>
    </row>
    <row r="343" spans="5:21" ht="12.55">
      <c r="E343" s="248"/>
      <c r="F343" s="248"/>
      <c r="U343" s="248"/>
    </row>
    <row r="344" spans="5:21" ht="12.55">
      <c r="E344" s="248"/>
      <c r="F344" s="248"/>
      <c r="U344" s="248"/>
    </row>
    <row r="345" spans="5:21" ht="12.55">
      <c r="E345" s="248"/>
      <c r="F345" s="248"/>
      <c r="U345" s="248"/>
    </row>
    <row r="346" spans="5:21" ht="12.55">
      <c r="E346" s="248"/>
      <c r="F346" s="248"/>
      <c r="U346" s="248"/>
    </row>
    <row r="347" spans="5:21" ht="12.55">
      <c r="E347" s="248"/>
      <c r="F347" s="248"/>
      <c r="U347" s="248"/>
    </row>
    <row r="348" spans="5:21" ht="12.55">
      <c r="E348" s="248"/>
      <c r="F348" s="248"/>
      <c r="U348" s="248"/>
    </row>
    <row r="349" spans="5:21" ht="12.55">
      <c r="E349" s="248"/>
      <c r="F349" s="248"/>
      <c r="U349" s="248"/>
    </row>
    <row r="350" spans="5:21" ht="12.55">
      <c r="E350" s="248"/>
      <c r="F350" s="248"/>
      <c r="U350" s="248"/>
    </row>
    <row r="351" spans="5:21" ht="12.55">
      <c r="E351" s="248"/>
      <c r="F351" s="248"/>
      <c r="U351" s="248"/>
    </row>
    <row r="352" spans="5:21" ht="12.55">
      <c r="E352" s="248"/>
      <c r="F352" s="248"/>
      <c r="U352" s="248"/>
    </row>
    <row r="353" spans="5:21" ht="12.55">
      <c r="E353" s="248"/>
      <c r="F353" s="248"/>
      <c r="U353" s="248"/>
    </row>
    <row r="354" spans="5:21" ht="12.55">
      <c r="E354" s="248"/>
      <c r="F354" s="248"/>
      <c r="U354" s="248"/>
    </row>
    <row r="355" spans="5:21" ht="12.55">
      <c r="E355" s="248"/>
      <c r="F355" s="248"/>
      <c r="U355" s="248"/>
    </row>
    <row r="356" spans="5:21" ht="12.55">
      <c r="E356" s="248"/>
      <c r="F356" s="248"/>
      <c r="U356" s="248"/>
    </row>
    <row r="357" spans="5:21" ht="12.55">
      <c r="E357" s="248"/>
      <c r="F357" s="248"/>
      <c r="U357" s="248"/>
    </row>
    <row r="358" spans="5:21" ht="12.55">
      <c r="E358" s="248"/>
      <c r="F358" s="248"/>
      <c r="U358" s="248"/>
    </row>
    <row r="359" spans="5:21" ht="12.55">
      <c r="E359" s="248"/>
      <c r="F359" s="248"/>
      <c r="U359" s="248"/>
    </row>
    <row r="360" spans="5:21" ht="12.55">
      <c r="E360" s="248"/>
      <c r="F360" s="248"/>
      <c r="U360" s="248"/>
    </row>
    <row r="361" spans="5:21" ht="12.55">
      <c r="E361" s="248"/>
      <c r="F361" s="248"/>
      <c r="U361" s="248"/>
    </row>
    <row r="362" spans="5:21" ht="12.55">
      <c r="E362" s="248"/>
      <c r="F362" s="248"/>
      <c r="U362" s="248"/>
    </row>
    <row r="363" spans="5:21" ht="12.55">
      <c r="E363" s="248"/>
      <c r="F363" s="248"/>
      <c r="U363" s="248"/>
    </row>
    <row r="364" spans="5:21" ht="12.55">
      <c r="E364" s="248"/>
      <c r="F364" s="248"/>
      <c r="U364" s="248"/>
    </row>
    <row r="365" spans="5:21" ht="12.55">
      <c r="E365" s="248"/>
      <c r="F365" s="248"/>
      <c r="U365" s="248"/>
    </row>
    <row r="366" spans="5:21" ht="12.55">
      <c r="E366" s="248"/>
      <c r="F366" s="248"/>
      <c r="U366" s="248"/>
    </row>
    <row r="367" spans="5:21" ht="12.55">
      <c r="E367" s="248"/>
      <c r="F367" s="248"/>
      <c r="U367" s="248"/>
    </row>
    <row r="368" spans="5:21" ht="12.55">
      <c r="E368" s="248"/>
      <c r="F368" s="248"/>
      <c r="U368" s="248"/>
    </row>
    <row r="369" spans="5:21" ht="12.55">
      <c r="E369" s="248"/>
      <c r="F369" s="248"/>
      <c r="U369" s="248"/>
    </row>
    <row r="370" spans="5:21" ht="12.55">
      <c r="E370" s="248"/>
      <c r="F370" s="248"/>
      <c r="U370" s="248"/>
    </row>
    <row r="371" spans="5:21" ht="12.55">
      <c r="E371" s="248"/>
      <c r="F371" s="248"/>
      <c r="U371" s="248"/>
    </row>
    <row r="372" spans="5:21" ht="12.55">
      <c r="E372" s="248"/>
      <c r="F372" s="248"/>
      <c r="U372" s="248"/>
    </row>
    <row r="373" spans="5:21" ht="12.55">
      <c r="E373" s="248"/>
      <c r="F373" s="248"/>
      <c r="U373" s="248"/>
    </row>
    <row r="374" spans="5:21" ht="12.55">
      <c r="E374" s="248"/>
      <c r="F374" s="248"/>
      <c r="U374" s="248"/>
    </row>
    <row r="375" spans="5:21" ht="12.55">
      <c r="E375" s="248"/>
      <c r="F375" s="248"/>
      <c r="U375" s="248"/>
    </row>
    <row r="376" spans="5:21" ht="12.55">
      <c r="E376" s="248"/>
      <c r="F376" s="248"/>
      <c r="U376" s="248"/>
    </row>
    <row r="377" spans="5:21" ht="12.55">
      <c r="E377" s="248"/>
      <c r="F377" s="248"/>
      <c r="U377" s="248"/>
    </row>
    <row r="378" spans="5:21" ht="12.55">
      <c r="E378" s="248"/>
      <c r="F378" s="248"/>
      <c r="U378" s="248"/>
    </row>
    <row r="379" spans="5:21" ht="12.55">
      <c r="E379" s="248"/>
      <c r="F379" s="248"/>
      <c r="U379" s="248"/>
    </row>
    <row r="380" spans="5:21" ht="12.55">
      <c r="E380" s="248"/>
      <c r="F380" s="248"/>
      <c r="U380" s="248"/>
    </row>
    <row r="381" spans="5:21" ht="12.55">
      <c r="E381" s="248"/>
      <c r="F381" s="248"/>
      <c r="U381" s="248"/>
    </row>
    <row r="382" spans="5:21" ht="12.55">
      <c r="E382" s="248"/>
      <c r="F382" s="248"/>
      <c r="U382" s="248"/>
    </row>
    <row r="383" spans="5:21" ht="12.55">
      <c r="E383" s="248"/>
      <c r="F383" s="248"/>
      <c r="U383" s="248"/>
    </row>
    <row r="384" spans="5:21" ht="12.55">
      <c r="E384" s="248"/>
      <c r="F384" s="248"/>
      <c r="U384" s="248"/>
    </row>
    <row r="385" spans="5:21" ht="12.55">
      <c r="E385" s="248"/>
      <c r="F385" s="248"/>
      <c r="U385" s="248"/>
    </row>
    <row r="386" spans="5:21" ht="12.55">
      <c r="E386" s="248"/>
      <c r="F386" s="248"/>
      <c r="U386" s="248"/>
    </row>
    <row r="387" spans="5:21" ht="12.55">
      <c r="E387" s="248"/>
      <c r="F387" s="248"/>
      <c r="U387" s="248"/>
    </row>
    <row r="388" spans="5:21" ht="12.55">
      <c r="E388" s="248"/>
      <c r="F388" s="248"/>
      <c r="U388" s="248"/>
    </row>
    <row r="389" spans="5:21" ht="12.55">
      <c r="E389" s="248"/>
      <c r="F389" s="248"/>
      <c r="U389" s="248"/>
    </row>
    <row r="390" spans="5:21" ht="12.55">
      <c r="E390" s="248"/>
      <c r="F390" s="248"/>
      <c r="U390" s="248"/>
    </row>
    <row r="391" spans="5:21" ht="12.55">
      <c r="E391" s="248"/>
      <c r="F391" s="248"/>
      <c r="U391" s="248"/>
    </row>
    <row r="392" spans="5:21" ht="12.55">
      <c r="E392" s="248"/>
      <c r="F392" s="248"/>
      <c r="U392" s="248"/>
    </row>
    <row r="393" spans="5:21" ht="12.55">
      <c r="E393" s="248"/>
      <c r="F393" s="248"/>
      <c r="U393" s="248"/>
    </row>
    <row r="394" spans="5:21" ht="12.55">
      <c r="E394" s="248"/>
      <c r="F394" s="248"/>
      <c r="U394" s="248"/>
    </row>
    <row r="395" spans="5:21" ht="12.55">
      <c r="E395" s="248"/>
      <c r="F395" s="248"/>
      <c r="U395" s="248"/>
    </row>
    <row r="396" spans="5:21" ht="12.55">
      <c r="E396" s="248"/>
      <c r="F396" s="248"/>
      <c r="U396" s="248"/>
    </row>
    <row r="397" spans="5:21" ht="12.55">
      <c r="E397" s="248"/>
      <c r="F397" s="248"/>
      <c r="U397" s="248"/>
    </row>
    <row r="398" spans="5:21" ht="12.55">
      <c r="E398" s="248"/>
      <c r="F398" s="248"/>
      <c r="U398" s="248"/>
    </row>
    <row r="399" spans="5:21" ht="12.55">
      <c r="E399" s="248"/>
      <c r="F399" s="248"/>
      <c r="U399" s="248"/>
    </row>
    <row r="400" spans="5:21" ht="12.55">
      <c r="E400" s="248"/>
      <c r="F400" s="248"/>
      <c r="U400" s="248"/>
    </row>
    <row r="401" spans="5:21" ht="12.55">
      <c r="E401" s="248"/>
      <c r="F401" s="248"/>
      <c r="U401" s="248"/>
    </row>
    <row r="402" spans="5:21" ht="12.55">
      <c r="E402" s="248"/>
      <c r="F402" s="248"/>
      <c r="U402" s="248"/>
    </row>
    <row r="403" spans="5:21" ht="12.55">
      <c r="E403" s="248"/>
      <c r="F403" s="248"/>
      <c r="U403" s="248"/>
    </row>
    <row r="404" spans="5:21" ht="12.55">
      <c r="E404" s="248"/>
      <c r="F404" s="248"/>
      <c r="U404" s="248"/>
    </row>
    <row r="405" spans="5:21" ht="12.55">
      <c r="E405" s="248"/>
      <c r="F405" s="248"/>
      <c r="U405" s="248"/>
    </row>
    <row r="406" spans="5:21" ht="12.55">
      <c r="E406" s="248"/>
      <c r="F406" s="248"/>
      <c r="U406" s="248"/>
    </row>
    <row r="407" spans="5:21" ht="12.55">
      <c r="E407" s="248"/>
      <c r="F407" s="248"/>
      <c r="U407" s="248"/>
    </row>
    <row r="408" spans="5:21" ht="12.55">
      <c r="E408" s="248"/>
      <c r="F408" s="248"/>
      <c r="U408" s="248"/>
    </row>
    <row r="409" spans="5:21" ht="12.55">
      <c r="E409" s="248"/>
      <c r="F409" s="248"/>
      <c r="U409" s="248"/>
    </row>
    <row r="410" spans="5:21" ht="12.55">
      <c r="E410" s="248"/>
      <c r="F410" s="248"/>
      <c r="U410" s="248"/>
    </row>
    <row r="411" spans="5:21" ht="12.55">
      <c r="E411" s="248"/>
      <c r="F411" s="248"/>
      <c r="U411" s="248"/>
    </row>
    <row r="412" spans="5:21" ht="12.55">
      <c r="E412" s="248"/>
      <c r="F412" s="248"/>
      <c r="U412" s="248"/>
    </row>
    <row r="413" spans="5:21" ht="12.55">
      <c r="E413" s="248"/>
      <c r="F413" s="248"/>
      <c r="U413" s="248"/>
    </row>
    <row r="414" spans="5:21" ht="12.55">
      <c r="E414" s="248"/>
      <c r="F414" s="248"/>
      <c r="U414" s="248"/>
    </row>
    <row r="415" spans="5:21" ht="12.55">
      <c r="E415" s="248"/>
      <c r="F415" s="248"/>
      <c r="U415" s="248"/>
    </row>
    <row r="416" spans="5:21" ht="12.55">
      <c r="E416" s="248"/>
      <c r="F416" s="248"/>
      <c r="U416" s="248"/>
    </row>
    <row r="417" spans="5:21" ht="12.55">
      <c r="E417" s="248"/>
      <c r="F417" s="248"/>
      <c r="U417" s="248"/>
    </row>
    <row r="418" spans="5:21" ht="12.55">
      <c r="E418" s="248"/>
      <c r="F418" s="248"/>
      <c r="U418" s="248"/>
    </row>
    <row r="419" spans="5:21" ht="12.55">
      <c r="E419" s="248"/>
      <c r="F419" s="248"/>
      <c r="U419" s="248"/>
    </row>
    <row r="420" spans="5:21" ht="12.55">
      <c r="E420" s="248"/>
      <c r="F420" s="248"/>
      <c r="U420" s="248"/>
    </row>
    <row r="421" spans="5:21" ht="12.55">
      <c r="E421" s="248"/>
      <c r="F421" s="248"/>
      <c r="U421" s="248"/>
    </row>
    <row r="422" spans="5:21" ht="12.55">
      <c r="E422" s="248"/>
      <c r="F422" s="248"/>
      <c r="U422" s="248"/>
    </row>
    <row r="423" spans="5:21" ht="12.55">
      <c r="E423" s="248"/>
      <c r="F423" s="248"/>
      <c r="U423" s="248"/>
    </row>
    <row r="424" spans="5:21" ht="12.55">
      <c r="E424" s="248"/>
      <c r="F424" s="248"/>
      <c r="U424" s="248"/>
    </row>
    <row r="425" spans="5:21" ht="12.55">
      <c r="E425" s="248"/>
      <c r="F425" s="248"/>
      <c r="U425" s="248"/>
    </row>
    <row r="426" spans="5:21" ht="12.55">
      <c r="E426" s="248"/>
      <c r="F426" s="248"/>
      <c r="U426" s="248"/>
    </row>
    <row r="427" spans="5:21" ht="12.55">
      <c r="E427" s="248"/>
      <c r="F427" s="248"/>
      <c r="U427" s="248"/>
    </row>
    <row r="428" spans="5:21" ht="12.55">
      <c r="E428" s="248"/>
      <c r="F428" s="248"/>
      <c r="U428" s="248"/>
    </row>
    <row r="429" spans="5:21" ht="12.55">
      <c r="E429" s="248"/>
      <c r="F429" s="248"/>
      <c r="U429" s="248"/>
    </row>
    <row r="430" spans="5:21" ht="12.55">
      <c r="E430" s="248"/>
      <c r="F430" s="248"/>
      <c r="U430" s="248"/>
    </row>
    <row r="431" spans="5:21" ht="12.55">
      <c r="E431" s="248"/>
      <c r="F431" s="248"/>
      <c r="U431" s="248"/>
    </row>
    <row r="432" spans="5:21" ht="12.55">
      <c r="E432" s="248"/>
      <c r="F432" s="248"/>
      <c r="U432" s="248"/>
    </row>
    <row r="433" spans="5:21" ht="12.55">
      <c r="E433" s="248"/>
      <c r="F433" s="248"/>
      <c r="U433" s="248"/>
    </row>
    <row r="434" spans="5:21" ht="12.55">
      <c r="E434" s="248"/>
      <c r="F434" s="248"/>
      <c r="U434" s="248"/>
    </row>
    <row r="435" spans="5:21" ht="12.55">
      <c r="E435" s="248"/>
      <c r="F435" s="248"/>
      <c r="U435" s="248"/>
    </row>
    <row r="436" spans="5:21" ht="12.55">
      <c r="E436" s="248"/>
      <c r="F436" s="248"/>
      <c r="U436" s="248"/>
    </row>
    <row r="437" spans="5:21" ht="12.55">
      <c r="E437" s="248"/>
      <c r="F437" s="248"/>
      <c r="U437" s="248"/>
    </row>
    <row r="438" spans="5:21" ht="12.55">
      <c r="E438" s="248"/>
      <c r="F438" s="248"/>
      <c r="U438" s="248"/>
    </row>
    <row r="439" spans="5:21" ht="12.55">
      <c r="E439" s="248"/>
      <c r="F439" s="248"/>
      <c r="U439" s="248"/>
    </row>
    <row r="440" spans="5:21" ht="12.55">
      <c r="E440" s="248"/>
      <c r="F440" s="248"/>
      <c r="U440" s="248"/>
    </row>
    <row r="441" spans="5:21" ht="12.55">
      <c r="E441" s="248"/>
      <c r="F441" s="248"/>
      <c r="U441" s="248"/>
    </row>
    <row r="442" spans="5:21" ht="12.55">
      <c r="E442" s="248"/>
      <c r="F442" s="248"/>
      <c r="U442" s="248"/>
    </row>
    <row r="443" spans="5:21" ht="12.55">
      <c r="E443" s="248"/>
      <c r="F443" s="248"/>
      <c r="U443" s="248"/>
    </row>
    <row r="444" spans="5:21" ht="12.55">
      <c r="E444" s="248"/>
      <c r="F444" s="248"/>
      <c r="U444" s="248"/>
    </row>
    <row r="445" spans="5:21" ht="12.55">
      <c r="E445" s="248"/>
      <c r="F445" s="248"/>
      <c r="U445" s="248"/>
    </row>
    <row r="446" spans="5:21" ht="12.55">
      <c r="E446" s="248"/>
      <c r="F446" s="248"/>
      <c r="U446" s="248"/>
    </row>
    <row r="447" spans="5:21" ht="12.55">
      <c r="E447" s="248"/>
      <c r="F447" s="248"/>
      <c r="U447" s="248"/>
    </row>
    <row r="448" spans="5:21" ht="12.55">
      <c r="E448" s="248"/>
      <c r="F448" s="248"/>
      <c r="U448" s="248"/>
    </row>
    <row r="449" spans="5:21" ht="12.55">
      <c r="E449" s="248"/>
      <c r="F449" s="248"/>
      <c r="U449" s="248"/>
    </row>
    <row r="450" spans="5:21" ht="12.55">
      <c r="E450" s="248"/>
      <c r="F450" s="248"/>
      <c r="U450" s="248"/>
    </row>
    <row r="451" spans="5:21" ht="12.55">
      <c r="E451" s="248"/>
      <c r="F451" s="248"/>
      <c r="U451" s="248"/>
    </row>
    <row r="452" spans="5:21" ht="12.55">
      <c r="E452" s="248"/>
      <c r="F452" s="248"/>
      <c r="U452" s="248"/>
    </row>
    <row r="453" spans="5:21" ht="12.55">
      <c r="E453" s="248"/>
      <c r="F453" s="248"/>
      <c r="U453" s="248"/>
    </row>
    <row r="454" spans="5:21" ht="12.55">
      <c r="E454" s="248"/>
      <c r="F454" s="248"/>
      <c r="U454" s="248"/>
    </row>
    <row r="455" spans="5:21" ht="12.55">
      <c r="E455" s="248"/>
      <c r="F455" s="248"/>
      <c r="U455" s="248"/>
    </row>
    <row r="456" spans="5:21" ht="12.55">
      <c r="E456" s="248"/>
      <c r="F456" s="248"/>
      <c r="U456" s="248"/>
    </row>
    <row r="457" spans="5:21" ht="12.55">
      <c r="E457" s="248"/>
      <c r="F457" s="248"/>
      <c r="U457" s="248"/>
    </row>
    <row r="458" spans="5:21" ht="12.55">
      <c r="E458" s="248"/>
      <c r="F458" s="248"/>
      <c r="U458" s="248"/>
    </row>
    <row r="459" spans="5:21" ht="12.55">
      <c r="E459" s="248"/>
      <c r="F459" s="248"/>
      <c r="U459" s="248"/>
    </row>
    <row r="460" spans="5:21" ht="12.55">
      <c r="E460" s="248"/>
      <c r="F460" s="248"/>
      <c r="U460" s="248"/>
    </row>
    <row r="461" spans="5:21" ht="12.55">
      <c r="E461" s="248"/>
      <c r="F461" s="248"/>
      <c r="U461" s="248"/>
    </row>
    <row r="462" spans="5:21" ht="12.55">
      <c r="E462" s="248"/>
      <c r="F462" s="248"/>
      <c r="U462" s="248"/>
    </row>
    <row r="463" spans="5:21" ht="12.55">
      <c r="E463" s="248"/>
      <c r="F463" s="248"/>
      <c r="U463" s="248"/>
    </row>
    <row r="464" spans="5:21" ht="12.55">
      <c r="E464" s="248"/>
      <c r="F464" s="248"/>
      <c r="U464" s="248"/>
    </row>
    <row r="465" spans="5:21" ht="12.55">
      <c r="E465" s="248"/>
      <c r="F465" s="248"/>
      <c r="U465" s="248"/>
    </row>
    <row r="466" spans="5:21" ht="12.55">
      <c r="E466" s="248"/>
      <c r="F466" s="248"/>
      <c r="U466" s="248"/>
    </row>
    <row r="467" spans="5:21" ht="12.55">
      <c r="E467" s="248"/>
      <c r="F467" s="248"/>
      <c r="U467" s="248"/>
    </row>
    <row r="468" spans="5:21" ht="12.55">
      <c r="E468" s="248"/>
      <c r="F468" s="248"/>
      <c r="U468" s="248"/>
    </row>
    <row r="469" spans="5:21" ht="12.55">
      <c r="E469" s="248"/>
      <c r="F469" s="248"/>
      <c r="U469" s="248"/>
    </row>
    <row r="470" spans="5:21" ht="12.55">
      <c r="E470" s="248"/>
      <c r="F470" s="248"/>
      <c r="U470" s="248"/>
    </row>
    <row r="471" spans="5:21" ht="12.55">
      <c r="E471" s="248"/>
      <c r="F471" s="248"/>
      <c r="U471" s="248"/>
    </row>
    <row r="472" spans="5:21" ht="12.55">
      <c r="E472" s="248"/>
      <c r="F472" s="248"/>
      <c r="U472" s="248"/>
    </row>
    <row r="473" spans="5:21" ht="12.55">
      <c r="E473" s="248"/>
      <c r="F473" s="248"/>
      <c r="U473" s="248"/>
    </row>
    <row r="474" spans="5:21" ht="12.55">
      <c r="E474" s="248"/>
      <c r="F474" s="248"/>
      <c r="U474" s="248"/>
    </row>
    <row r="475" spans="5:21" ht="12.55">
      <c r="E475" s="248"/>
      <c r="F475" s="248"/>
      <c r="U475" s="248"/>
    </row>
    <row r="476" spans="5:21" ht="12.55">
      <c r="E476" s="248"/>
      <c r="F476" s="248"/>
      <c r="U476" s="248"/>
    </row>
    <row r="477" spans="5:21" ht="12.55">
      <c r="E477" s="248"/>
      <c r="F477" s="248"/>
      <c r="U477" s="248"/>
    </row>
    <row r="478" spans="5:21" ht="12.55">
      <c r="E478" s="248"/>
      <c r="F478" s="248"/>
      <c r="U478" s="248"/>
    </row>
    <row r="479" spans="5:21" ht="12.55">
      <c r="E479" s="248"/>
      <c r="F479" s="248"/>
      <c r="U479" s="248"/>
    </row>
    <row r="480" spans="5:21" ht="12.55">
      <c r="E480" s="248"/>
      <c r="F480" s="248"/>
      <c r="U480" s="248"/>
    </row>
    <row r="481" spans="5:21" ht="12.55">
      <c r="E481" s="248"/>
      <c r="F481" s="248"/>
      <c r="U481" s="248"/>
    </row>
    <row r="482" spans="5:21" ht="12.55">
      <c r="E482" s="248"/>
      <c r="F482" s="248"/>
      <c r="U482" s="248"/>
    </row>
    <row r="483" spans="5:21" ht="12.55">
      <c r="E483" s="248"/>
      <c r="F483" s="248"/>
      <c r="U483" s="248"/>
    </row>
    <row r="484" spans="5:21" ht="12.55">
      <c r="E484" s="248"/>
      <c r="F484" s="248"/>
      <c r="U484" s="248"/>
    </row>
    <row r="485" spans="5:21" ht="12.55">
      <c r="E485" s="248"/>
      <c r="F485" s="248"/>
      <c r="U485" s="248"/>
    </row>
    <row r="486" spans="5:21" ht="12.55">
      <c r="E486" s="248"/>
      <c r="F486" s="248"/>
      <c r="U486" s="248"/>
    </row>
    <row r="487" spans="5:21" ht="12.55">
      <c r="E487" s="248"/>
      <c r="F487" s="248"/>
      <c r="U487" s="248"/>
    </row>
    <row r="488" spans="5:21" ht="12.55">
      <c r="E488" s="248"/>
      <c r="F488" s="248"/>
      <c r="U488" s="248"/>
    </row>
    <row r="489" spans="5:21" ht="12.55">
      <c r="E489" s="248"/>
      <c r="F489" s="248"/>
      <c r="U489" s="248"/>
    </row>
    <row r="490" spans="5:21" ht="12.55">
      <c r="E490" s="248"/>
      <c r="F490" s="248"/>
      <c r="U490" s="248"/>
    </row>
    <row r="491" spans="5:21" ht="12.55">
      <c r="E491" s="248"/>
      <c r="F491" s="248"/>
      <c r="U491" s="248"/>
    </row>
    <row r="492" spans="5:21" ht="12.55">
      <c r="E492" s="248"/>
      <c r="F492" s="248"/>
      <c r="U492" s="248"/>
    </row>
    <row r="493" spans="5:21" ht="12.55">
      <c r="E493" s="248"/>
      <c r="F493" s="248"/>
      <c r="U493" s="248"/>
    </row>
    <row r="494" spans="5:21" ht="12.55">
      <c r="E494" s="248"/>
      <c r="F494" s="248"/>
      <c r="U494" s="248"/>
    </row>
    <row r="495" spans="5:21" ht="12.55">
      <c r="E495" s="248"/>
      <c r="F495" s="248"/>
      <c r="U495" s="248"/>
    </row>
    <row r="496" spans="5:21" ht="12.55">
      <c r="E496" s="248"/>
      <c r="F496" s="248"/>
      <c r="U496" s="248"/>
    </row>
    <row r="497" spans="5:21" ht="12.55">
      <c r="E497" s="248"/>
      <c r="F497" s="248"/>
      <c r="U497" s="248"/>
    </row>
    <row r="498" spans="5:21" ht="12.55">
      <c r="E498" s="248"/>
      <c r="F498" s="248"/>
      <c r="U498" s="248"/>
    </row>
    <row r="499" spans="5:21" ht="12.55">
      <c r="E499" s="248"/>
      <c r="F499" s="248"/>
      <c r="U499" s="248"/>
    </row>
    <row r="500" spans="5:21" ht="12.55">
      <c r="E500" s="248"/>
      <c r="F500" s="248"/>
      <c r="U500" s="248"/>
    </row>
    <row r="501" spans="5:21" ht="12.55">
      <c r="E501" s="248"/>
      <c r="F501" s="248"/>
      <c r="U501" s="248"/>
    </row>
    <row r="502" spans="5:21" ht="12.55">
      <c r="E502" s="248"/>
      <c r="F502" s="248"/>
      <c r="U502" s="248"/>
    </row>
    <row r="503" spans="5:21" ht="12.55">
      <c r="E503" s="248"/>
      <c r="F503" s="248"/>
      <c r="U503" s="248"/>
    </row>
    <row r="504" spans="5:21" ht="12.55">
      <c r="E504" s="248"/>
      <c r="F504" s="248"/>
      <c r="U504" s="248"/>
    </row>
    <row r="505" spans="5:21" ht="12.55">
      <c r="E505" s="248"/>
      <c r="F505" s="248"/>
      <c r="U505" s="248"/>
    </row>
    <row r="506" spans="5:21" ht="12.55">
      <c r="E506" s="248"/>
      <c r="F506" s="248"/>
      <c r="U506" s="248"/>
    </row>
    <row r="507" spans="5:21" ht="12.55">
      <c r="E507" s="248"/>
      <c r="F507" s="248"/>
      <c r="U507" s="248"/>
    </row>
    <row r="508" spans="5:21" ht="12.55">
      <c r="E508" s="248"/>
      <c r="F508" s="248"/>
      <c r="U508" s="248"/>
    </row>
    <row r="509" spans="5:21" ht="12.55">
      <c r="E509" s="248"/>
      <c r="F509" s="248"/>
      <c r="U509" s="248"/>
    </row>
    <row r="510" spans="5:21" ht="12.55">
      <c r="E510" s="248"/>
      <c r="F510" s="248"/>
      <c r="U510" s="248"/>
    </row>
    <row r="511" spans="5:21" ht="12.55">
      <c r="E511" s="248"/>
      <c r="F511" s="248"/>
      <c r="U511" s="248"/>
    </row>
    <row r="512" spans="5:21" ht="12.55">
      <c r="E512" s="248"/>
      <c r="F512" s="248"/>
      <c r="U512" s="248"/>
    </row>
    <row r="513" spans="5:21" ht="12.55">
      <c r="E513" s="248"/>
      <c r="F513" s="248"/>
      <c r="U513" s="248"/>
    </row>
    <row r="514" spans="5:21" ht="12.55">
      <c r="E514" s="248"/>
      <c r="F514" s="248"/>
      <c r="U514" s="248"/>
    </row>
    <row r="515" spans="5:21" ht="12.55">
      <c r="E515" s="248"/>
      <c r="F515" s="248"/>
      <c r="U515" s="248"/>
    </row>
    <row r="516" spans="5:21" ht="12.55">
      <c r="E516" s="248"/>
      <c r="F516" s="248"/>
      <c r="U516" s="248"/>
    </row>
    <row r="517" spans="5:21" ht="12.55">
      <c r="E517" s="248"/>
      <c r="F517" s="248"/>
      <c r="U517" s="248"/>
    </row>
    <row r="518" spans="5:21" ht="12.55">
      <c r="E518" s="248"/>
      <c r="F518" s="248"/>
      <c r="U518" s="248"/>
    </row>
    <row r="519" spans="5:21" ht="12.55">
      <c r="E519" s="248"/>
      <c r="F519" s="248"/>
      <c r="U519" s="248"/>
    </row>
    <row r="520" spans="5:21" ht="12.55">
      <c r="E520" s="248"/>
      <c r="F520" s="248"/>
      <c r="U520" s="248"/>
    </row>
    <row r="521" spans="5:21" ht="12.55">
      <c r="E521" s="248"/>
      <c r="F521" s="248"/>
      <c r="U521" s="248"/>
    </row>
    <row r="522" spans="5:21" ht="12.55">
      <c r="E522" s="248"/>
      <c r="F522" s="248"/>
      <c r="U522" s="248"/>
    </row>
    <row r="523" spans="5:21" ht="12.55">
      <c r="E523" s="248"/>
      <c r="F523" s="248"/>
      <c r="U523" s="248"/>
    </row>
    <row r="524" spans="5:21" ht="12.55">
      <c r="E524" s="248"/>
      <c r="F524" s="248"/>
      <c r="U524" s="248"/>
    </row>
    <row r="525" spans="5:21" ht="12.55">
      <c r="E525" s="248"/>
      <c r="F525" s="248"/>
      <c r="U525" s="248"/>
    </row>
    <row r="526" spans="5:21" ht="12.55">
      <c r="E526" s="248"/>
      <c r="F526" s="248"/>
      <c r="U526" s="248"/>
    </row>
    <row r="527" spans="5:21" ht="12.55">
      <c r="E527" s="248"/>
      <c r="F527" s="248"/>
      <c r="U527" s="248"/>
    </row>
    <row r="528" spans="5:21" ht="12.55">
      <c r="E528" s="248"/>
      <c r="F528" s="248"/>
      <c r="U528" s="248"/>
    </row>
    <row r="529" spans="5:21" ht="12.55">
      <c r="E529" s="248"/>
      <c r="F529" s="248"/>
      <c r="U529" s="248"/>
    </row>
    <row r="530" spans="5:21" ht="12.55">
      <c r="E530" s="248"/>
      <c r="F530" s="248"/>
      <c r="U530" s="248"/>
    </row>
    <row r="531" spans="5:21" ht="12.55">
      <c r="E531" s="248"/>
      <c r="F531" s="248"/>
      <c r="U531" s="248"/>
    </row>
    <row r="532" spans="5:21" ht="12.55">
      <c r="E532" s="248"/>
      <c r="F532" s="248"/>
      <c r="U532" s="248"/>
    </row>
    <row r="533" spans="5:21" ht="12.55">
      <c r="E533" s="248"/>
      <c r="F533" s="248"/>
      <c r="U533" s="248"/>
    </row>
    <row r="534" spans="5:21" ht="12.55">
      <c r="E534" s="248"/>
      <c r="F534" s="248"/>
      <c r="U534" s="248"/>
    </row>
    <row r="535" spans="5:21" ht="12.55">
      <c r="E535" s="248"/>
      <c r="F535" s="248"/>
      <c r="U535" s="248"/>
    </row>
    <row r="536" spans="5:21" ht="12.55">
      <c r="E536" s="248"/>
      <c r="F536" s="248"/>
      <c r="U536" s="248"/>
    </row>
    <row r="537" spans="5:21" ht="12.55">
      <c r="E537" s="248"/>
      <c r="F537" s="248"/>
      <c r="U537" s="248"/>
    </row>
    <row r="538" spans="5:21" ht="12.55">
      <c r="E538" s="248"/>
      <c r="F538" s="248"/>
      <c r="U538" s="248"/>
    </row>
    <row r="539" spans="5:21" ht="12.55">
      <c r="E539" s="248"/>
      <c r="F539" s="248"/>
      <c r="U539" s="248"/>
    </row>
    <row r="540" spans="5:21" ht="12.55">
      <c r="E540" s="248"/>
      <c r="F540" s="248"/>
      <c r="U540" s="248"/>
    </row>
    <row r="541" spans="5:21" ht="12.55">
      <c r="E541" s="248"/>
      <c r="F541" s="248"/>
      <c r="U541" s="248"/>
    </row>
    <row r="542" spans="5:21" ht="12.55">
      <c r="E542" s="248"/>
      <c r="F542" s="248"/>
      <c r="U542" s="248"/>
    </row>
    <row r="543" spans="5:21" ht="12.55">
      <c r="E543" s="248"/>
      <c r="F543" s="248"/>
      <c r="U543" s="248"/>
    </row>
    <row r="544" spans="5:21" ht="12.55">
      <c r="E544" s="248"/>
      <c r="F544" s="248"/>
      <c r="U544" s="248"/>
    </row>
    <row r="545" spans="5:21" ht="12.55">
      <c r="E545" s="248"/>
      <c r="F545" s="248"/>
      <c r="U545" s="248"/>
    </row>
    <row r="546" spans="5:21" ht="12.55">
      <c r="E546" s="248"/>
      <c r="F546" s="248"/>
      <c r="U546" s="248"/>
    </row>
    <row r="547" spans="5:21" ht="12.55">
      <c r="E547" s="248"/>
      <c r="F547" s="248"/>
      <c r="U547" s="248"/>
    </row>
    <row r="548" spans="5:21" ht="12.55">
      <c r="E548" s="248"/>
      <c r="F548" s="248"/>
      <c r="U548" s="248"/>
    </row>
    <row r="549" spans="5:21" ht="12.55">
      <c r="E549" s="248"/>
      <c r="F549" s="248"/>
      <c r="U549" s="248"/>
    </row>
    <row r="550" spans="5:21" ht="12.55">
      <c r="E550" s="248"/>
      <c r="F550" s="248"/>
      <c r="U550" s="248"/>
    </row>
    <row r="551" spans="5:21" ht="12.55">
      <c r="E551" s="248"/>
      <c r="F551" s="248"/>
      <c r="U551" s="248"/>
    </row>
    <row r="552" spans="5:21" ht="12.55">
      <c r="E552" s="248"/>
      <c r="F552" s="248"/>
      <c r="U552" s="248"/>
    </row>
    <row r="553" spans="5:21" ht="12.55">
      <c r="E553" s="248"/>
      <c r="F553" s="248"/>
      <c r="U553" s="248"/>
    </row>
    <row r="554" spans="5:21" ht="12.55">
      <c r="E554" s="248"/>
      <c r="F554" s="248"/>
      <c r="U554" s="248"/>
    </row>
    <row r="555" spans="5:21" ht="12.55">
      <c r="E555" s="248"/>
      <c r="F555" s="248"/>
      <c r="U555" s="248"/>
    </row>
    <row r="556" spans="5:21" ht="12.55">
      <c r="E556" s="248"/>
      <c r="F556" s="248"/>
      <c r="U556" s="248"/>
    </row>
    <row r="557" spans="5:21" ht="12.55">
      <c r="E557" s="248"/>
      <c r="F557" s="248"/>
      <c r="U557" s="248"/>
    </row>
    <row r="558" spans="5:21" ht="12.55">
      <c r="E558" s="248"/>
      <c r="F558" s="248"/>
      <c r="U558" s="248"/>
    </row>
    <row r="559" spans="5:21" ht="12.55">
      <c r="E559" s="248"/>
      <c r="F559" s="248"/>
      <c r="U559" s="248"/>
    </row>
    <row r="560" spans="5:21" ht="12.55">
      <c r="E560" s="248"/>
      <c r="F560" s="248"/>
      <c r="U560" s="248"/>
    </row>
    <row r="561" spans="5:21" ht="12.55">
      <c r="E561" s="248"/>
      <c r="F561" s="248"/>
      <c r="U561" s="248"/>
    </row>
    <row r="562" spans="5:21" ht="12.55">
      <c r="E562" s="248"/>
      <c r="F562" s="248"/>
      <c r="U562" s="248"/>
    </row>
    <row r="563" spans="5:21" ht="12.55">
      <c r="E563" s="248"/>
      <c r="F563" s="248"/>
      <c r="U563" s="248"/>
    </row>
    <row r="564" spans="5:21" ht="12.55">
      <c r="E564" s="248"/>
      <c r="F564" s="248"/>
      <c r="U564" s="248"/>
    </row>
    <row r="565" spans="5:21" ht="12.55">
      <c r="E565" s="248"/>
      <c r="F565" s="248"/>
      <c r="U565" s="248"/>
    </row>
    <row r="566" spans="5:21" ht="12.55">
      <c r="E566" s="248"/>
      <c r="F566" s="248"/>
      <c r="U566" s="248"/>
    </row>
    <row r="567" spans="5:21" ht="12.55">
      <c r="E567" s="248"/>
      <c r="F567" s="248"/>
      <c r="U567" s="248"/>
    </row>
    <row r="568" spans="5:21" ht="12.55">
      <c r="E568" s="248"/>
      <c r="F568" s="248"/>
      <c r="U568" s="248"/>
    </row>
    <row r="569" spans="5:21" ht="12.55">
      <c r="E569" s="248"/>
      <c r="F569" s="248"/>
      <c r="U569" s="248"/>
    </row>
    <row r="570" spans="5:21" ht="12.55">
      <c r="E570" s="248"/>
      <c r="F570" s="248"/>
      <c r="U570" s="248"/>
    </row>
    <row r="571" spans="5:21" ht="12.55">
      <c r="E571" s="248"/>
      <c r="F571" s="248"/>
      <c r="U571" s="248"/>
    </row>
    <row r="572" spans="5:21" ht="12.55">
      <c r="E572" s="248"/>
      <c r="F572" s="248"/>
      <c r="U572" s="248"/>
    </row>
    <row r="573" spans="5:21" ht="12.55">
      <c r="E573" s="248"/>
      <c r="F573" s="248"/>
      <c r="U573" s="248"/>
    </row>
    <row r="574" spans="5:21" ht="12.55">
      <c r="E574" s="248"/>
      <c r="F574" s="248"/>
      <c r="U574" s="248"/>
    </row>
    <row r="575" spans="5:21" ht="12.55">
      <c r="E575" s="248"/>
      <c r="F575" s="248"/>
      <c r="U575" s="248"/>
    </row>
    <row r="576" spans="5:21" ht="12.55">
      <c r="E576" s="248"/>
      <c r="F576" s="248"/>
      <c r="U576" s="248"/>
    </row>
    <row r="577" spans="5:21" ht="12.55">
      <c r="E577" s="248"/>
      <c r="F577" s="248"/>
      <c r="U577" s="248"/>
    </row>
    <row r="578" spans="5:21" ht="12.55">
      <c r="E578" s="248"/>
      <c r="F578" s="248"/>
      <c r="U578" s="248"/>
    </row>
    <row r="579" spans="5:21" ht="12.55">
      <c r="E579" s="248"/>
      <c r="F579" s="248"/>
      <c r="U579" s="248"/>
    </row>
    <row r="580" spans="5:21" ht="12.55">
      <c r="E580" s="248"/>
      <c r="F580" s="248"/>
      <c r="U580" s="248"/>
    </row>
    <row r="581" spans="5:21" ht="12.55">
      <c r="E581" s="248"/>
      <c r="F581" s="248"/>
      <c r="U581" s="248"/>
    </row>
    <row r="582" spans="5:21" ht="12.55">
      <c r="E582" s="248"/>
      <c r="F582" s="248"/>
      <c r="U582" s="248"/>
    </row>
    <row r="583" spans="5:21" ht="12.55">
      <c r="E583" s="248"/>
      <c r="F583" s="248"/>
      <c r="U583" s="248"/>
    </row>
    <row r="584" spans="5:21" ht="12.55">
      <c r="E584" s="248"/>
      <c r="F584" s="248"/>
      <c r="U584" s="248"/>
    </row>
    <row r="585" spans="5:21" ht="12.55">
      <c r="E585" s="248"/>
      <c r="F585" s="248"/>
      <c r="U585" s="248"/>
    </row>
    <row r="586" spans="5:21" ht="12.55">
      <c r="E586" s="248"/>
      <c r="F586" s="248"/>
      <c r="U586" s="248"/>
    </row>
    <row r="587" spans="5:21" ht="12.55">
      <c r="E587" s="248"/>
      <c r="F587" s="248"/>
      <c r="U587" s="248"/>
    </row>
    <row r="588" spans="5:21" ht="12.55">
      <c r="E588" s="248"/>
      <c r="F588" s="248"/>
      <c r="U588" s="248"/>
    </row>
    <row r="589" spans="5:21" ht="12.55">
      <c r="E589" s="248"/>
      <c r="F589" s="248"/>
      <c r="U589" s="248"/>
    </row>
    <row r="590" spans="5:21" ht="12.55">
      <c r="E590" s="248"/>
      <c r="F590" s="248"/>
      <c r="U590" s="248"/>
    </row>
    <row r="591" spans="5:21" ht="12.55">
      <c r="E591" s="248"/>
      <c r="F591" s="248"/>
      <c r="U591" s="248"/>
    </row>
    <row r="592" spans="5:21" ht="12.55">
      <c r="E592" s="248"/>
      <c r="F592" s="248"/>
      <c r="U592" s="248"/>
    </row>
    <row r="593" spans="5:21" ht="12.55">
      <c r="E593" s="248"/>
      <c r="F593" s="248"/>
      <c r="U593" s="248"/>
    </row>
    <row r="594" spans="5:21" ht="12.55">
      <c r="E594" s="248"/>
      <c r="F594" s="248"/>
      <c r="U594" s="248"/>
    </row>
    <row r="595" spans="5:21" ht="12.55">
      <c r="E595" s="248"/>
      <c r="F595" s="248"/>
      <c r="U595" s="248"/>
    </row>
    <row r="596" spans="5:21" ht="12.55">
      <c r="E596" s="248"/>
      <c r="F596" s="248"/>
      <c r="U596" s="248"/>
    </row>
    <row r="597" spans="5:21" ht="12.55">
      <c r="E597" s="248"/>
      <c r="F597" s="248"/>
      <c r="U597" s="248"/>
    </row>
    <row r="598" spans="5:21" ht="12.55">
      <c r="E598" s="248"/>
      <c r="F598" s="248"/>
      <c r="U598" s="248"/>
    </row>
    <row r="599" spans="5:21" ht="12.55">
      <c r="E599" s="248"/>
      <c r="F599" s="248"/>
      <c r="U599" s="248"/>
    </row>
    <row r="600" spans="5:21" ht="12.55">
      <c r="E600" s="248"/>
      <c r="F600" s="248"/>
      <c r="U600" s="248"/>
    </row>
    <row r="601" spans="5:21" ht="12.55">
      <c r="E601" s="248"/>
      <c r="F601" s="248"/>
      <c r="U601" s="248"/>
    </row>
    <row r="602" spans="5:21" ht="12.55">
      <c r="E602" s="248"/>
      <c r="F602" s="248"/>
      <c r="U602" s="248"/>
    </row>
    <row r="603" spans="5:21" ht="12.55">
      <c r="E603" s="248"/>
      <c r="F603" s="248"/>
      <c r="U603" s="248"/>
    </row>
    <row r="604" spans="5:21" ht="12.55">
      <c r="E604" s="248"/>
      <c r="F604" s="248"/>
      <c r="U604" s="248"/>
    </row>
    <row r="605" spans="5:21" ht="12.55">
      <c r="E605" s="248"/>
      <c r="F605" s="248"/>
      <c r="U605" s="248"/>
    </row>
    <row r="606" spans="5:21" ht="12.55">
      <c r="E606" s="248"/>
      <c r="F606" s="248"/>
      <c r="U606" s="248"/>
    </row>
    <row r="607" spans="5:21" ht="12.55">
      <c r="E607" s="248"/>
      <c r="F607" s="248"/>
      <c r="U607" s="248"/>
    </row>
    <row r="608" spans="5:21" ht="12.55">
      <c r="E608" s="248"/>
      <c r="F608" s="248"/>
      <c r="U608" s="248"/>
    </row>
    <row r="609" spans="5:21" ht="12.55">
      <c r="E609" s="248"/>
      <c r="F609" s="248"/>
      <c r="U609" s="248"/>
    </row>
    <row r="610" spans="5:21" ht="12.55">
      <c r="E610" s="248"/>
      <c r="F610" s="248"/>
      <c r="U610" s="248"/>
    </row>
    <row r="611" spans="5:21" ht="12.55">
      <c r="E611" s="248"/>
      <c r="F611" s="248"/>
      <c r="U611" s="248"/>
    </row>
    <row r="612" spans="5:21" ht="12.55">
      <c r="E612" s="248"/>
      <c r="F612" s="248"/>
      <c r="U612" s="248"/>
    </row>
    <row r="613" spans="5:21" ht="12.55">
      <c r="E613" s="248"/>
      <c r="F613" s="248"/>
      <c r="U613" s="248"/>
    </row>
    <row r="614" spans="5:21" ht="12.55">
      <c r="E614" s="248"/>
      <c r="F614" s="248"/>
      <c r="U614" s="248"/>
    </row>
    <row r="615" spans="5:21" ht="12.55">
      <c r="E615" s="248"/>
      <c r="F615" s="248"/>
      <c r="U615" s="248"/>
    </row>
    <row r="616" spans="5:21" ht="12.55">
      <c r="E616" s="248"/>
      <c r="F616" s="248"/>
      <c r="U616" s="248"/>
    </row>
    <row r="617" spans="5:21" ht="12.55">
      <c r="E617" s="248"/>
      <c r="F617" s="248"/>
      <c r="U617" s="248"/>
    </row>
    <row r="618" spans="5:21" ht="12.55">
      <c r="E618" s="248"/>
      <c r="F618" s="248"/>
      <c r="U618" s="248"/>
    </row>
    <row r="619" spans="5:21" ht="12.55">
      <c r="E619" s="248"/>
      <c r="F619" s="248"/>
      <c r="U619" s="248"/>
    </row>
    <row r="620" spans="5:21" ht="12.55">
      <c r="E620" s="248"/>
      <c r="F620" s="248"/>
      <c r="U620" s="248"/>
    </row>
    <row r="621" spans="5:21" ht="12.55">
      <c r="E621" s="248"/>
      <c r="F621" s="248"/>
      <c r="U621" s="248"/>
    </row>
    <row r="622" spans="5:21" ht="12.55">
      <c r="E622" s="248"/>
      <c r="F622" s="248"/>
      <c r="U622" s="248"/>
    </row>
    <row r="623" spans="5:21" ht="12.55">
      <c r="E623" s="248"/>
      <c r="F623" s="248"/>
      <c r="U623" s="248"/>
    </row>
    <row r="624" spans="5:21" ht="12.55">
      <c r="E624" s="248"/>
      <c r="F624" s="248"/>
      <c r="U624" s="248"/>
    </row>
    <row r="625" spans="5:21" ht="12.55">
      <c r="E625" s="248"/>
      <c r="F625" s="248"/>
      <c r="U625" s="248"/>
    </row>
    <row r="626" spans="5:21" ht="12.55">
      <c r="E626" s="248"/>
      <c r="F626" s="248"/>
      <c r="U626" s="248"/>
    </row>
    <row r="627" spans="5:21" ht="12.55">
      <c r="E627" s="248"/>
      <c r="F627" s="248"/>
      <c r="U627" s="248"/>
    </row>
    <row r="628" spans="5:21" ht="12.55">
      <c r="E628" s="248"/>
      <c r="F628" s="248"/>
      <c r="U628" s="248"/>
    </row>
    <row r="629" spans="5:21" ht="12.55">
      <c r="E629" s="248"/>
      <c r="F629" s="248"/>
      <c r="U629" s="248"/>
    </row>
    <row r="630" spans="5:21" ht="12.55">
      <c r="E630" s="248"/>
      <c r="F630" s="248"/>
      <c r="U630" s="248"/>
    </row>
    <row r="631" spans="5:21" ht="12.55">
      <c r="E631" s="248"/>
      <c r="F631" s="248"/>
      <c r="U631" s="248"/>
    </row>
    <row r="632" spans="5:21" ht="12.55">
      <c r="E632" s="248"/>
      <c r="F632" s="248"/>
      <c r="U632" s="248"/>
    </row>
    <row r="633" spans="5:21" ht="12.55">
      <c r="E633" s="248"/>
      <c r="F633" s="248"/>
      <c r="U633" s="248"/>
    </row>
    <row r="634" spans="5:21" ht="12.55">
      <c r="E634" s="248"/>
      <c r="F634" s="248"/>
      <c r="U634" s="248"/>
    </row>
    <row r="635" spans="5:21" ht="12.55">
      <c r="E635" s="248"/>
      <c r="F635" s="248"/>
      <c r="U635" s="248"/>
    </row>
    <row r="636" spans="5:21" ht="12.55">
      <c r="E636" s="248"/>
      <c r="F636" s="248"/>
      <c r="U636" s="248"/>
    </row>
    <row r="637" spans="5:21" ht="12.55">
      <c r="E637" s="248"/>
      <c r="F637" s="248"/>
      <c r="U637" s="248"/>
    </row>
    <row r="638" spans="5:21" ht="12.55">
      <c r="E638" s="248"/>
      <c r="F638" s="248"/>
      <c r="U638" s="248"/>
    </row>
    <row r="639" spans="5:21" ht="12.55">
      <c r="E639" s="248"/>
      <c r="F639" s="248"/>
      <c r="U639" s="248"/>
    </row>
    <row r="640" spans="5:21" ht="12.55">
      <c r="E640" s="248"/>
      <c r="F640" s="248"/>
      <c r="U640" s="248"/>
    </row>
    <row r="641" spans="5:21" ht="12.55">
      <c r="E641" s="248"/>
      <c r="F641" s="248"/>
      <c r="U641" s="248"/>
    </row>
    <row r="642" spans="5:21" ht="12.55">
      <c r="E642" s="248"/>
      <c r="F642" s="248"/>
      <c r="U642" s="248"/>
    </row>
    <row r="643" spans="5:21" ht="12.55">
      <c r="E643" s="248"/>
      <c r="F643" s="248"/>
      <c r="U643" s="248"/>
    </row>
    <row r="644" spans="5:21" ht="12.55">
      <c r="E644" s="248"/>
      <c r="F644" s="248"/>
      <c r="U644" s="248"/>
    </row>
    <row r="645" spans="5:21" ht="12.55">
      <c r="E645" s="248"/>
      <c r="F645" s="248"/>
      <c r="U645" s="248"/>
    </row>
    <row r="646" spans="5:21" ht="12.55">
      <c r="E646" s="248"/>
      <c r="F646" s="248"/>
      <c r="U646" s="248"/>
    </row>
    <row r="647" spans="5:21" ht="12.55">
      <c r="E647" s="248"/>
      <c r="F647" s="248"/>
      <c r="U647" s="248"/>
    </row>
    <row r="648" spans="5:21" ht="12.55">
      <c r="E648" s="248"/>
      <c r="F648" s="248"/>
      <c r="U648" s="248"/>
    </row>
    <row r="649" spans="5:21" ht="12.55">
      <c r="E649" s="248"/>
      <c r="F649" s="248"/>
      <c r="U649" s="248"/>
    </row>
    <row r="650" spans="5:21" ht="12.55">
      <c r="E650" s="248"/>
      <c r="F650" s="248"/>
      <c r="U650" s="248"/>
    </row>
    <row r="651" spans="5:21" ht="12.55">
      <c r="E651" s="248"/>
      <c r="F651" s="248"/>
      <c r="U651" s="248"/>
    </row>
    <row r="652" spans="5:21" ht="12.55">
      <c r="E652" s="248"/>
      <c r="F652" s="248"/>
      <c r="U652" s="248"/>
    </row>
    <row r="653" spans="5:21" ht="12.55">
      <c r="E653" s="248"/>
      <c r="F653" s="248"/>
      <c r="U653" s="248"/>
    </row>
    <row r="654" spans="5:21" ht="12.55">
      <c r="E654" s="248"/>
      <c r="F654" s="248"/>
      <c r="U654" s="248"/>
    </row>
    <row r="655" spans="5:21" ht="12.55">
      <c r="E655" s="248"/>
      <c r="F655" s="248"/>
      <c r="U655" s="248"/>
    </row>
    <row r="656" spans="5:21" ht="12.55">
      <c r="E656" s="248"/>
      <c r="F656" s="248"/>
      <c r="U656" s="248"/>
    </row>
    <row r="657" spans="5:21" ht="12.55">
      <c r="E657" s="248"/>
      <c r="F657" s="248"/>
      <c r="U657" s="248"/>
    </row>
    <row r="658" spans="5:21" ht="12.55">
      <c r="E658" s="248"/>
      <c r="F658" s="248"/>
      <c r="U658" s="248"/>
    </row>
    <row r="659" spans="5:21" ht="12.55">
      <c r="E659" s="248"/>
      <c r="F659" s="248"/>
      <c r="U659" s="248"/>
    </row>
    <row r="660" spans="5:21" ht="12.55">
      <c r="E660" s="248"/>
      <c r="F660" s="248"/>
      <c r="U660" s="248"/>
    </row>
    <row r="661" spans="5:21" ht="12.55">
      <c r="E661" s="248"/>
      <c r="F661" s="248"/>
      <c r="U661" s="248"/>
    </row>
    <row r="662" spans="5:21" ht="12.55">
      <c r="E662" s="248"/>
      <c r="F662" s="248"/>
      <c r="U662" s="248"/>
    </row>
    <row r="663" spans="5:21" ht="12.55">
      <c r="E663" s="248"/>
      <c r="F663" s="248"/>
      <c r="U663" s="248"/>
    </row>
    <row r="664" spans="5:21" ht="12.55">
      <c r="E664" s="248"/>
      <c r="F664" s="248"/>
      <c r="U664" s="248"/>
    </row>
    <row r="665" spans="5:21" ht="12.55">
      <c r="E665" s="248"/>
      <c r="F665" s="248"/>
      <c r="U665" s="248"/>
    </row>
    <row r="666" spans="5:21" ht="12.55">
      <c r="E666" s="248"/>
      <c r="F666" s="248"/>
      <c r="U666" s="248"/>
    </row>
    <row r="667" spans="5:21" ht="12.55">
      <c r="E667" s="248"/>
      <c r="F667" s="248"/>
      <c r="U667" s="248"/>
    </row>
    <row r="668" spans="5:21" ht="12.55">
      <c r="E668" s="248"/>
      <c r="F668" s="248"/>
      <c r="U668" s="248"/>
    </row>
    <row r="669" spans="5:21" ht="12.55">
      <c r="E669" s="248"/>
      <c r="F669" s="248"/>
      <c r="U669" s="248"/>
    </row>
    <row r="670" spans="5:21" ht="12.55">
      <c r="E670" s="248"/>
      <c r="F670" s="248"/>
      <c r="U670" s="248"/>
    </row>
    <row r="671" spans="5:21" ht="12.55">
      <c r="E671" s="248"/>
      <c r="F671" s="248"/>
      <c r="U671" s="248"/>
    </row>
    <row r="672" spans="5:21" ht="12.55">
      <c r="E672" s="248"/>
      <c r="F672" s="248"/>
      <c r="U672" s="248"/>
    </row>
    <row r="673" spans="5:21" ht="12.55">
      <c r="E673" s="248"/>
      <c r="F673" s="248"/>
      <c r="U673" s="248"/>
    </row>
    <row r="674" spans="5:21" ht="12.55">
      <c r="E674" s="248"/>
      <c r="F674" s="248"/>
      <c r="U674" s="248"/>
    </row>
    <row r="675" spans="5:21" ht="12.55">
      <c r="E675" s="248"/>
      <c r="F675" s="248"/>
      <c r="U675" s="248"/>
    </row>
    <row r="676" spans="5:21" ht="12.55">
      <c r="E676" s="248"/>
      <c r="F676" s="248"/>
      <c r="U676" s="248"/>
    </row>
    <row r="677" spans="5:21" ht="12.55">
      <c r="E677" s="248"/>
      <c r="F677" s="248"/>
      <c r="U677" s="248"/>
    </row>
    <row r="678" spans="5:21" ht="12.55">
      <c r="E678" s="248"/>
      <c r="F678" s="248"/>
      <c r="U678" s="248"/>
    </row>
    <row r="679" spans="5:21" ht="12.55">
      <c r="E679" s="248"/>
      <c r="F679" s="248"/>
      <c r="U679" s="248"/>
    </row>
    <row r="680" spans="5:21" ht="12.55">
      <c r="E680" s="248"/>
      <c r="F680" s="248"/>
      <c r="U680" s="248"/>
    </row>
    <row r="681" spans="5:21" ht="12.55">
      <c r="E681" s="248"/>
      <c r="F681" s="248"/>
      <c r="U681" s="248"/>
    </row>
    <row r="682" spans="5:21" ht="12.55">
      <c r="E682" s="248"/>
      <c r="F682" s="248"/>
      <c r="U682" s="248"/>
    </row>
    <row r="683" spans="5:21" ht="12.55">
      <c r="E683" s="248"/>
      <c r="F683" s="248"/>
      <c r="U683" s="248"/>
    </row>
    <row r="684" spans="5:21" ht="12.55">
      <c r="E684" s="248"/>
      <c r="F684" s="248"/>
      <c r="U684" s="248"/>
    </row>
    <row r="685" spans="5:21" ht="12.55">
      <c r="E685" s="248"/>
      <c r="F685" s="248"/>
      <c r="U685" s="248"/>
    </row>
    <row r="686" spans="5:21" ht="12.55">
      <c r="E686" s="248"/>
      <c r="F686" s="248"/>
      <c r="U686" s="248"/>
    </row>
    <row r="687" spans="5:21" ht="12.55">
      <c r="E687" s="248"/>
      <c r="F687" s="248"/>
      <c r="U687" s="248"/>
    </row>
    <row r="688" spans="5:21" ht="12.55">
      <c r="E688" s="248"/>
      <c r="F688" s="248"/>
      <c r="U688" s="248"/>
    </row>
    <row r="689" spans="5:21" ht="12.55">
      <c r="E689" s="248"/>
      <c r="F689" s="248"/>
      <c r="U689" s="248"/>
    </row>
    <row r="690" spans="5:21" ht="12.55">
      <c r="E690" s="248"/>
      <c r="F690" s="248"/>
      <c r="U690" s="248"/>
    </row>
    <row r="691" spans="5:21" ht="12.55">
      <c r="E691" s="248"/>
      <c r="F691" s="248"/>
      <c r="U691" s="248"/>
    </row>
    <row r="692" spans="5:21" ht="12.55">
      <c r="E692" s="248"/>
      <c r="F692" s="248"/>
      <c r="U692" s="248"/>
    </row>
    <row r="693" spans="5:21" ht="12.55">
      <c r="E693" s="248"/>
      <c r="F693" s="248"/>
      <c r="U693" s="248"/>
    </row>
    <row r="694" spans="5:21" ht="12.55">
      <c r="E694" s="248"/>
      <c r="F694" s="248"/>
      <c r="U694" s="248"/>
    </row>
    <row r="695" spans="5:21" ht="12.55">
      <c r="E695" s="248"/>
      <c r="F695" s="248"/>
      <c r="U695" s="248"/>
    </row>
    <row r="696" spans="5:21" ht="12.55">
      <c r="E696" s="248"/>
      <c r="F696" s="248"/>
      <c r="U696" s="248"/>
    </row>
    <row r="697" spans="5:21" ht="12.55">
      <c r="E697" s="248"/>
      <c r="F697" s="248"/>
      <c r="U697" s="248"/>
    </row>
    <row r="698" spans="5:21" ht="12.55">
      <c r="E698" s="248"/>
      <c r="F698" s="248"/>
      <c r="U698" s="248"/>
    </row>
    <row r="699" spans="5:21" ht="12.55">
      <c r="E699" s="248"/>
      <c r="F699" s="248"/>
      <c r="U699" s="248"/>
    </row>
    <row r="700" spans="5:21" ht="12.55">
      <c r="E700" s="248"/>
      <c r="F700" s="248"/>
      <c r="U700" s="248"/>
    </row>
    <row r="701" spans="5:21" ht="12.55">
      <c r="E701" s="248"/>
      <c r="F701" s="248"/>
      <c r="U701" s="248"/>
    </row>
    <row r="702" spans="5:21" ht="12.55">
      <c r="E702" s="248"/>
      <c r="F702" s="248"/>
      <c r="U702" s="248"/>
    </row>
    <row r="703" spans="5:21" ht="12.55">
      <c r="E703" s="248"/>
      <c r="F703" s="248"/>
      <c r="U703" s="248"/>
    </row>
    <row r="704" spans="5:21" ht="12.55">
      <c r="E704" s="248"/>
      <c r="F704" s="248"/>
      <c r="U704" s="248"/>
    </row>
    <row r="705" spans="5:21" ht="12.55">
      <c r="E705" s="248"/>
      <c r="F705" s="248"/>
      <c r="U705" s="248"/>
    </row>
    <row r="706" spans="5:21" ht="12.55">
      <c r="E706" s="248"/>
      <c r="F706" s="248"/>
      <c r="U706" s="248"/>
    </row>
    <row r="707" spans="5:21" ht="12.55">
      <c r="E707" s="248"/>
      <c r="F707" s="248"/>
      <c r="U707" s="248"/>
    </row>
    <row r="708" spans="5:21" ht="12.55">
      <c r="E708" s="248"/>
      <c r="F708" s="248"/>
      <c r="U708" s="248"/>
    </row>
    <row r="709" spans="5:21" ht="12.55">
      <c r="E709" s="248"/>
      <c r="F709" s="248"/>
      <c r="U709" s="248"/>
    </row>
    <row r="710" spans="5:21" ht="12.55">
      <c r="E710" s="248"/>
      <c r="F710" s="248"/>
      <c r="U710" s="248"/>
    </row>
    <row r="711" spans="5:21" ht="12.55">
      <c r="E711" s="248"/>
      <c r="F711" s="248"/>
      <c r="U711" s="248"/>
    </row>
    <row r="712" spans="5:21" ht="12.55">
      <c r="E712" s="248"/>
      <c r="F712" s="248"/>
      <c r="U712" s="248"/>
    </row>
    <row r="713" spans="5:21" ht="12.55">
      <c r="E713" s="248"/>
      <c r="F713" s="248"/>
      <c r="U713" s="248"/>
    </row>
    <row r="714" spans="5:21" ht="12.55">
      <c r="E714" s="248"/>
      <c r="F714" s="248"/>
      <c r="U714" s="248"/>
    </row>
    <row r="715" spans="5:21" ht="12.55">
      <c r="E715" s="248"/>
      <c r="F715" s="248"/>
      <c r="U715" s="248"/>
    </row>
    <row r="716" spans="5:21" ht="12.55">
      <c r="E716" s="248"/>
      <c r="F716" s="248"/>
      <c r="U716" s="248"/>
    </row>
    <row r="717" spans="5:21" ht="12.55">
      <c r="E717" s="248"/>
      <c r="F717" s="248"/>
      <c r="U717" s="248"/>
    </row>
    <row r="718" spans="5:21" ht="12.55">
      <c r="E718" s="248"/>
      <c r="F718" s="248"/>
      <c r="U718" s="248"/>
    </row>
    <row r="719" spans="5:21" ht="12.55">
      <c r="E719" s="248"/>
      <c r="F719" s="248"/>
      <c r="U719" s="248"/>
    </row>
    <row r="720" spans="5:21" ht="12.55">
      <c r="E720" s="248"/>
      <c r="F720" s="248"/>
      <c r="U720" s="248"/>
    </row>
    <row r="721" spans="5:21" ht="12.55">
      <c r="E721" s="248"/>
      <c r="F721" s="248"/>
      <c r="U721" s="248"/>
    </row>
    <row r="722" spans="5:21" ht="12.55">
      <c r="E722" s="248"/>
      <c r="F722" s="248"/>
      <c r="U722" s="248"/>
    </row>
    <row r="723" spans="5:21" ht="12.55">
      <c r="E723" s="248"/>
      <c r="F723" s="248"/>
      <c r="U723" s="248"/>
    </row>
    <row r="724" spans="5:21" ht="12.55">
      <c r="E724" s="248"/>
      <c r="F724" s="248"/>
      <c r="U724" s="248"/>
    </row>
    <row r="725" spans="5:21" ht="12.55">
      <c r="E725" s="248"/>
      <c r="F725" s="248"/>
      <c r="U725" s="248"/>
    </row>
    <row r="726" spans="5:21" ht="12.55">
      <c r="E726" s="248"/>
      <c r="F726" s="248"/>
      <c r="U726" s="248"/>
    </row>
    <row r="727" spans="5:21" ht="12.55">
      <c r="E727" s="248"/>
      <c r="F727" s="248"/>
      <c r="U727" s="248"/>
    </row>
    <row r="728" spans="5:21" ht="12.55">
      <c r="E728" s="248"/>
      <c r="F728" s="248"/>
      <c r="U728" s="248"/>
    </row>
    <row r="729" spans="5:21" ht="12.55">
      <c r="E729" s="248"/>
      <c r="F729" s="248"/>
      <c r="U729" s="248"/>
    </row>
    <row r="730" spans="5:21" ht="12.55">
      <c r="E730" s="248"/>
      <c r="F730" s="248"/>
      <c r="U730" s="248"/>
    </row>
    <row r="731" spans="5:21" ht="12.55">
      <c r="E731" s="248"/>
      <c r="F731" s="248"/>
      <c r="U731" s="248"/>
    </row>
    <row r="732" spans="5:21" ht="12.55">
      <c r="E732" s="248"/>
      <c r="F732" s="248"/>
      <c r="U732" s="248"/>
    </row>
    <row r="733" spans="5:21" ht="12.55">
      <c r="E733" s="248"/>
      <c r="F733" s="248"/>
      <c r="U733" s="248"/>
    </row>
    <row r="734" spans="5:21" ht="12.55">
      <c r="E734" s="248"/>
      <c r="F734" s="248"/>
      <c r="U734" s="248"/>
    </row>
    <row r="735" spans="5:21" ht="12.55">
      <c r="E735" s="248"/>
      <c r="F735" s="248"/>
      <c r="U735" s="248"/>
    </row>
    <row r="736" spans="5:21" ht="12.55">
      <c r="E736" s="248"/>
      <c r="F736" s="248"/>
      <c r="U736" s="248"/>
    </row>
    <row r="737" spans="5:21" ht="12.55">
      <c r="E737" s="248"/>
      <c r="F737" s="248"/>
      <c r="U737" s="248"/>
    </row>
    <row r="738" spans="5:21" ht="12.55">
      <c r="E738" s="248"/>
      <c r="F738" s="248"/>
      <c r="U738" s="248"/>
    </row>
    <row r="739" spans="5:21" ht="12.55">
      <c r="E739" s="248"/>
      <c r="F739" s="248"/>
      <c r="U739" s="248"/>
    </row>
    <row r="740" spans="5:21" ht="12.55">
      <c r="E740" s="248"/>
      <c r="F740" s="248"/>
      <c r="U740" s="248"/>
    </row>
    <row r="741" spans="5:21" ht="12.55">
      <c r="E741" s="248"/>
      <c r="F741" s="248"/>
      <c r="U741" s="248"/>
    </row>
    <row r="742" spans="5:21" ht="12.55">
      <c r="E742" s="248"/>
      <c r="F742" s="248"/>
      <c r="U742" s="248"/>
    </row>
    <row r="743" spans="5:21" ht="12.55">
      <c r="E743" s="248"/>
      <c r="F743" s="248"/>
      <c r="U743" s="248"/>
    </row>
    <row r="744" spans="5:21" ht="12.55">
      <c r="E744" s="248"/>
      <c r="F744" s="248"/>
      <c r="U744" s="248"/>
    </row>
    <row r="745" spans="5:21" ht="12.55">
      <c r="E745" s="248"/>
      <c r="F745" s="248"/>
      <c r="U745" s="248"/>
    </row>
    <row r="746" spans="5:21" ht="12.55">
      <c r="E746" s="248"/>
      <c r="F746" s="248"/>
      <c r="U746" s="248"/>
    </row>
    <row r="747" spans="5:21" ht="12.55">
      <c r="E747" s="248"/>
      <c r="F747" s="248"/>
      <c r="U747" s="248"/>
    </row>
    <row r="748" spans="5:21" ht="12.55">
      <c r="E748" s="248"/>
      <c r="F748" s="248"/>
      <c r="U748" s="248"/>
    </row>
    <row r="749" spans="5:21" ht="12.55">
      <c r="E749" s="248"/>
      <c r="F749" s="248"/>
      <c r="U749" s="248"/>
    </row>
    <row r="750" spans="5:21" ht="12.55">
      <c r="E750" s="248"/>
      <c r="F750" s="248"/>
      <c r="U750" s="248"/>
    </row>
    <row r="751" spans="5:21" ht="12.55">
      <c r="E751" s="248"/>
      <c r="F751" s="248"/>
      <c r="U751" s="248"/>
    </row>
    <row r="752" spans="5:21" ht="12.55">
      <c r="E752" s="248"/>
      <c r="F752" s="248"/>
      <c r="U752" s="248"/>
    </row>
    <row r="753" spans="5:21" ht="12.55">
      <c r="E753" s="248"/>
      <c r="F753" s="248"/>
      <c r="U753" s="248"/>
    </row>
    <row r="754" spans="5:21" ht="12.55">
      <c r="E754" s="248"/>
      <c r="F754" s="248"/>
      <c r="U754" s="248"/>
    </row>
    <row r="755" spans="5:21" ht="12.55">
      <c r="E755" s="248"/>
      <c r="F755" s="248"/>
      <c r="U755" s="248"/>
    </row>
    <row r="756" spans="5:21" ht="12.55">
      <c r="E756" s="248"/>
      <c r="F756" s="248"/>
      <c r="U756" s="248"/>
    </row>
    <row r="757" spans="5:21" ht="12.55">
      <c r="E757" s="248"/>
      <c r="F757" s="248"/>
      <c r="U757" s="248"/>
    </row>
    <row r="758" spans="5:21" ht="12.55">
      <c r="E758" s="248"/>
      <c r="F758" s="248"/>
      <c r="U758" s="248"/>
    </row>
    <row r="759" spans="5:21" ht="12.55">
      <c r="E759" s="248"/>
      <c r="F759" s="248"/>
      <c r="U759" s="248"/>
    </row>
    <row r="760" spans="5:21" ht="12.55">
      <c r="E760" s="248"/>
      <c r="F760" s="248"/>
      <c r="U760" s="248"/>
    </row>
    <row r="761" spans="5:21" ht="12.55">
      <c r="E761" s="248"/>
      <c r="F761" s="248"/>
      <c r="U761" s="248"/>
    </row>
    <row r="762" spans="5:21" ht="12.55">
      <c r="E762" s="248"/>
      <c r="F762" s="248"/>
      <c r="U762" s="248"/>
    </row>
    <row r="763" spans="5:21" ht="12.55">
      <c r="E763" s="248"/>
      <c r="F763" s="248"/>
      <c r="U763" s="248"/>
    </row>
    <row r="764" spans="5:21" ht="12.55">
      <c r="E764" s="248"/>
      <c r="F764" s="248"/>
      <c r="U764" s="248"/>
    </row>
    <row r="765" spans="5:21" ht="12.55">
      <c r="E765" s="248"/>
      <c r="F765" s="248"/>
      <c r="U765" s="248"/>
    </row>
    <row r="766" spans="5:21" ht="12.55">
      <c r="E766" s="248"/>
      <c r="F766" s="248"/>
      <c r="U766" s="248"/>
    </row>
    <row r="767" spans="5:21" ht="12.55">
      <c r="E767" s="248"/>
      <c r="F767" s="248"/>
      <c r="U767" s="248"/>
    </row>
    <row r="768" spans="5:21" ht="12.55">
      <c r="E768" s="248"/>
      <c r="F768" s="248"/>
      <c r="U768" s="248"/>
    </row>
    <row r="769" spans="5:21" ht="12.55">
      <c r="E769" s="248"/>
      <c r="F769" s="248"/>
      <c r="U769" s="248"/>
    </row>
    <row r="770" spans="5:21" ht="12.55">
      <c r="E770" s="248"/>
      <c r="F770" s="248"/>
      <c r="U770" s="248"/>
    </row>
    <row r="771" spans="5:21" ht="12.55">
      <c r="E771" s="248"/>
      <c r="F771" s="248"/>
      <c r="U771" s="248"/>
    </row>
    <row r="772" spans="5:21" ht="12.55">
      <c r="E772" s="248"/>
      <c r="F772" s="248"/>
      <c r="U772" s="248"/>
    </row>
    <row r="773" spans="5:21" ht="12.55">
      <c r="E773" s="248"/>
      <c r="F773" s="248"/>
      <c r="U773" s="248"/>
    </row>
    <row r="774" spans="5:21" ht="12.55">
      <c r="E774" s="248"/>
      <c r="F774" s="248"/>
      <c r="U774" s="248"/>
    </row>
    <row r="775" spans="5:21" ht="12.55">
      <c r="E775" s="248"/>
      <c r="F775" s="248"/>
      <c r="U775" s="248"/>
    </row>
    <row r="776" spans="5:21" ht="12.55">
      <c r="E776" s="248"/>
      <c r="F776" s="248"/>
      <c r="U776" s="248"/>
    </row>
    <row r="777" spans="5:21" ht="12.55">
      <c r="E777" s="248"/>
      <c r="F777" s="248"/>
      <c r="U777" s="248"/>
    </row>
    <row r="778" spans="5:21" ht="12.55">
      <c r="E778" s="248"/>
      <c r="F778" s="248"/>
      <c r="U778" s="248"/>
    </row>
    <row r="779" spans="5:21" ht="12.55">
      <c r="E779" s="248"/>
      <c r="F779" s="248"/>
      <c r="U779" s="248"/>
    </row>
    <row r="780" spans="5:21" ht="12.55">
      <c r="E780" s="248"/>
      <c r="F780" s="248"/>
      <c r="U780" s="248"/>
    </row>
    <row r="781" spans="5:21" ht="12.55">
      <c r="E781" s="248"/>
      <c r="F781" s="248"/>
      <c r="U781" s="248"/>
    </row>
    <row r="782" spans="5:21" ht="12.55">
      <c r="E782" s="248"/>
      <c r="F782" s="248"/>
      <c r="U782" s="248"/>
    </row>
    <row r="783" spans="5:21" ht="12.55">
      <c r="E783" s="248"/>
      <c r="F783" s="248"/>
      <c r="U783" s="248"/>
    </row>
    <row r="784" spans="5:21" ht="12.55">
      <c r="E784" s="248"/>
      <c r="F784" s="248"/>
      <c r="U784" s="248"/>
    </row>
    <row r="785" spans="5:21" ht="12.55">
      <c r="E785" s="248"/>
      <c r="F785" s="248"/>
      <c r="U785" s="248"/>
    </row>
    <row r="786" spans="5:21" ht="12.55">
      <c r="E786" s="248"/>
      <c r="F786" s="248"/>
      <c r="U786" s="248"/>
    </row>
    <row r="787" spans="5:21" ht="12.55">
      <c r="E787" s="248"/>
      <c r="F787" s="248"/>
      <c r="U787" s="248"/>
    </row>
    <row r="788" spans="5:21" ht="12.55">
      <c r="E788" s="248"/>
      <c r="F788" s="248"/>
      <c r="U788" s="248"/>
    </row>
    <row r="789" spans="5:21" ht="12.55">
      <c r="E789" s="248"/>
      <c r="F789" s="248"/>
      <c r="U789" s="248"/>
    </row>
    <row r="790" spans="5:21" ht="12.55">
      <c r="E790" s="248"/>
      <c r="F790" s="248"/>
      <c r="U790" s="248"/>
    </row>
    <row r="791" spans="5:21" ht="12.55">
      <c r="E791" s="248"/>
      <c r="F791" s="248"/>
      <c r="U791" s="248"/>
    </row>
    <row r="792" spans="5:21" ht="12.55">
      <c r="E792" s="248"/>
      <c r="F792" s="248"/>
      <c r="U792" s="248"/>
    </row>
    <row r="793" spans="5:21" ht="12.55">
      <c r="E793" s="248"/>
      <c r="F793" s="248"/>
      <c r="U793" s="248"/>
    </row>
    <row r="794" spans="5:21" ht="12.55">
      <c r="E794" s="248"/>
      <c r="F794" s="248"/>
      <c r="U794" s="248"/>
    </row>
    <row r="795" spans="5:21" ht="12.55">
      <c r="E795" s="248"/>
      <c r="F795" s="248"/>
      <c r="U795" s="248"/>
    </row>
    <row r="796" spans="5:21" ht="12.55">
      <c r="E796" s="248"/>
      <c r="F796" s="248"/>
      <c r="U796" s="248"/>
    </row>
    <row r="797" spans="5:21" ht="12.55">
      <c r="E797" s="248"/>
      <c r="F797" s="248"/>
      <c r="U797" s="248"/>
    </row>
    <row r="798" spans="5:21" ht="12.55">
      <c r="E798" s="248"/>
      <c r="F798" s="248"/>
      <c r="U798" s="248"/>
    </row>
    <row r="799" spans="5:21" ht="12.55">
      <c r="E799" s="248"/>
      <c r="F799" s="248"/>
      <c r="U799" s="248"/>
    </row>
    <row r="800" spans="5:21" ht="12.55">
      <c r="E800" s="248"/>
      <c r="F800" s="248"/>
      <c r="U800" s="248"/>
    </row>
    <row r="801" spans="5:21" ht="12.55">
      <c r="E801" s="248"/>
      <c r="F801" s="248"/>
      <c r="U801" s="248"/>
    </row>
    <row r="802" spans="5:21" ht="12.55">
      <c r="E802" s="248"/>
      <c r="F802" s="248"/>
      <c r="U802" s="248"/>
    </row>
    <row r="803" spans="5:21" ht="12.55">
      <c r="E803" s="248"/>
      <c r="F803" s="248"/>
      <c r="U803" s="248"/>
    </row>
    <row r="804" spans="5:21" ht="12.55">
      <c r="E804" s="248"/>
      <c r="F804" s="248"/>
      <c r="U804" s="248"/>
    </row>
    <row r="805" spans="5:21" ht="12.55">
      <c r="E805" s="248"/>
      <c r="F805" s="248"/>
      <c r="U805" s="248"/>
    </row>
    <row r="806" spans="5:21" ht="12.55">
      <c r="E806" s="248"/>
      <c r="F806" s="248"/>
      <c r="U806" s="248"/>
    </row>
    <row r="807" spans="5:21" ht="12.55">
      <c r="E807" s="248"/>
      <c r="F807" s="248"/>
      <c r="U807" s="248"/>
    </row>
    <row r="808" spans="5:21" ht="12.55">
      <c r="E808" s="248"/>
      <c r="F808" s="248"/>
      <c r="U808" s="248"/>
    </row>
    <row r="809" spans="5:21" ht="12.55">
      <c r="E809" s="248"/>
      <c r="F809" s="248"/>
      <c r="U809" s="248"/>
    </row>
    <row r="810" spans="5:21" ht="12.55">
      <c r="E810" s="248"/>
      <c r="F810" s="248"/>
      <c r="U810" s="248"/>
    </row>
    <row r="811" spans="5:21" ht="12.55">
      <c r="E811" s="248"/>
      <c r="F811" s="248"/>
      <c r="U811" s="248"/>
    </row>
    <row r="812" spans="5:21" ht="12.55">
      <c r="E812" s="248"/>
      <c r="F812" s="248"/>
      <c r="U812" s="248"/>
    </row>
    <row r="813" spans="5:21" ht="12.55">
      <c r="E813" s="248"/>
      <c r="F813" s="248"/>
      <c r="U813" s="248"/>
    </row>
    <row r="814" spans="5:21" ht="12.55">
      <c r="E814" s="248"/>
      <c r="F814" s="248"/>
      <c r="U814" s="248"/>
    </row>
    <row r="815" spans="5:21" ht="12.55">
      <c r="E815" s="248"/>
      <c r="F815" s="248"/>
      <c r="U815" s="248"/>
    </row>
    <row r="816" spans="5:21" ht="12.55">
      <c r="E816" s="248"/>
      <c r="F816" s="248"/>
      <c r="U816" s="248"/>
    </row>
    <row r="817" spans="5:21" ht="12.55">
      <c r="E817" s="248"/>
      <c r="F817" s="248"/>
      <c r="U817" s="248"/>
    </row>
    <row r="818" spans="5:21" ht="12.55">
      <c r="E818" s="248"/>
      <c r="F818" s="248"/>
      <c r="U818" s="248"/>
    </row>
    <row r="819" spans="5:21" ht="12.55">
      <c r="E819" s="248"/>
      <c r="F819" s="248"/>
      <c r="U819" s="248"/>
    </row>
    <row r="820" spans="5:21" ht="12.55">
      <c r="E820" s="248"/>
      <c r="F820" s="248"/>
      <c r="U820" s="248"/>
    </row>
    <row r="821" spans="5:21" ht="12.55">
      <c r="E821" s="248"/>
      <c r="F821" s="248"/>
      <c r="U821" s="248"/>
    </row>
    <row r="822" spans="5:21" ht="12.55">
      <c r="E822" s="248"/>
      <c r="F822" s="248"/>
      <c r="U822" s="248"/>
    </row>
    <row r="823" spans="5:21" ht="12.55">
      <c r="E823" s="248"/>
      <c r="F823" s="248"/>
      <c r="U823" s="248"/>
    </row>
    <row r="824" spans="5:21" ht="12.55">
      <c r="E824" s="248"/>
      <c r="F824" s="248"/>
      <c r="U824" s="248"/>
    </row>
    <row r="825" spans="5:21" ht="12.55">
      <c r="E825" s="248"/>
      <c r="F825" s="248"/>
      <c r="U825" s="248"/>
    </row>
    <row r="826" spans="5:21" ht="12.55">
      <c r="E826" s="248"/>
      <c r="F826" s="248"/>
      <c r="U826" s="248"/>
    </row>
    <row r="827" spans="5:21" ht="12.55">
      <c r="E827" s="248"/>
      <c r="F827" s="248"/>
      <c r="U827" s="248"/>
    </row>
    <row r="828" spans="5:21" ht="12.55">
      <c r="E828" s="248"/>
      <c r="F828" s="248"/>
      <c r="U828" s="248"/>
    </row>
    <row r="829" spans="5:21" ht="12.55">
      <c r="E829" s="248"/>
      <c r="F829" s="248"/>
      <c r="U829" s="248"/>
    </row>
    <row r="830" spans="5:21" ht="12.55">
      <c r="E830" s="248"/>
      <c r="F830" s="248"/>
      <c r="U830" s="248"/>
    </row>
    <row r="831" spans="5:21" ht="12.55">
      <c r="E831" s="248"/>
      <c r="F831" s="248"/>
      <c r="U831" s="248"/>
    </row>
    <row r="832" spans="5:21" ht="12.55">
      <c r="E832" s="248"/>
      <c r="F832" s="248"/>
      <c r="U832" s="248"/>
    </row>
    <row r="833" spans="5:21" ht="12.55">
      <c r="E833" s="248"/>
      <c r="F833" s="248"/>
      <c r="U833" s="248"/>
    </row>
    <row r="834" spans="5:21" ht="12.55">
      <c r="E834" s="248"/>
      <c r="F834" s="248"/>
      <c r="U834" s="248"/>
    </row>
    <row r="835" spans="5:21" ht="12.55">
      <c r="E835" s="248"/>
      <c r="F835" s="248"/>
      <c r="U835" s="248"/>
    </row>
    <row r="836" spans="5:21" ht="12.55">
      <c r="E836" s="248"/>
      <c r="F836" s="248"/>
      <c r="U836" s="248"/>
    </row>
    <row r="837" spans="5:21" ht="12.55">
      <c r="E837" s="248"/>
      <c r="F837" s="248"/>
      <c r="U837" s="248"/>
    </row>
    <row r="838" spans="5:21" ht="12.55">
      <c r="E838" s="248"/>
      <c r="F838" s="248"/>
      <c r="U838" s="248"/>
    </row>
    <row r="839" spans="5:21" ht="12.55">
      <c r="E839" s="248"/>
      <c r="F839" s="248"/>
      <c r="U839" s="248"/>
    </row>
    <row r="840" spans="5:21" ht="12.55">
      <c r="E840" s="248"/>
      <c r="F840" s="248"/>
      <c r="U840" s="248"/>
    </row>
    <row r="841" spans="5:21" ht="12.55">
      <c r="E841" s="248"/>
      <c r="F841" s="248"/>
      <c r="U841" s="248"/>
    </row>
    <row r="842" spans="5:21" ht="12.55">
      <c r="E842" s="248"/>
      <c r="F842" s="248"/>
      <c r="U842" s="248"/>
    </row>
    <row r="843" spans="5:21" ht="12.55">
      <c r="E843" s="248"/>
      <c r="F843" s="248"/>
      <c r="U843" s="248"/>
    </row>
    <row r="844" spans="5:21" ht="12.55">
      <c r="E844" s="248"/>
      <c r="F844" s="248"/>
      <c r="U844" s="248"/>
    </row>
    <row r="845" spans="5:21" ht="12.55">
      <c r="E845" s="248"/>
      <c r="F845" s="248"/>
      <c r="U845" s="248"/>
    </row>
    <row r="846" spans="5:21" ht="12.55">
      <c r="E846" s="248"/>
      <c r="F846" s="248"/>
      <c r="U846" s="248"/>
    </row>
    <row r="847" spans="5:21" ht="12.55">
      <c r="E847" s="248"/>
      <c r="F847" s="248"/>
      <c r="U847" s="248"/>
    </row>
    <row r="848" spans="5:21" ht="12.55">
      <c r="E848" s="248"/>
      <c r="F848" s="248"/>
      <c r="U848" s="248"/>
    </row>
    <row r="849" spans="5:21" ht="12.55">
      <c r="E849" s="248"/>
      <c r="F849" s="248"/>
      <c r="U849" s="248"/>
    </row>
    <row r="850" spans="5:21" ht="12.55">
      <c r="E850" s="248"/>
      <c r="F850" s="248"/>
      <c r="U850" s="248"/>
    </row>
    <row r="851" spans="5:21" ht="12.55">
      <c r="E851" s="248"/>
      <c r="F851" s="248"/>
      <c r="U851" s="248"/>
    </row>
    <row r="852" spans="5:21" ht="12.55">
      <c r="E852" s="248"/>
      <c r="F852" s="248"/>
      <c r="U852" s="248"/>
    </row>
    <row r="853" spans="5:21" ht="12.55">
      <c r="E853" s="248"/>
      <c r="F853" s="248"/>
      <c r="U853" s="248"/>
    </row>
    <row r="854" spans="5:21" ht="12.55">
      <c r="E854" s="248"/>
      <c r="F854" s="248"/>
      <c r="U854" s="248"/>
    </row>
    <row r="855" spans="5:21" ht="12.55">
      <c r="E855" s="248"/>
      <c r="F855" s="248"/>
      <c r="U855" s="248"/>
    </row>
    <row r="856" spans="5:21" ht="12.55">
      <c r="E856" s="248"/>
      <c r="F856" s="248"/>
      <c r="U856" s="248"/>
    </row>
    <row r="857" spans="5:21" ht="12.55">
      <c r="E857" s="248"/>
      <c r="F857" s="248"/>
      <c r="U857" s="248"/>
    </row>
    <row r="858" spans="5:21" ht="12.55">
      <c r="E858" s="248"/>
      <c r="F858" s="248"/>
      <c r="U858" s="248"/>
    </row>
    <row r="859" spans="5:21" ht="12.55">
      <c r="E859" s="248"/>
      <c r="F859" s="248"/>
      <c r="U859" s="248"/>
    </row>
    <row r="860" spans="5:21" ht="12.55">
      <c r="E860" s="248"/>
      <c r="F860" s="248"/>
      <c r="U860" s="248"/>
    </row>
    <row r="861" spans="5:21" ht="12.55">
      <c r="E861" s="248"/>
      <c r="F861" s="248"/>
      <c r="U861" s="248"/>
    </row>
    <row r="862" spans="5:21" ht="12.55">
      <c r="E862" s="248"/>
      <c r="F862" s="248"/>
      <c r="U862" s="248"/>
    </row>
    <row r="863" spans="5:21" ht="12.55">
      <c r="E863" s="248"/>
      <c r="F863" s="248"/>
      <c r="U863" s="248"/>
    </row>
    <row r="864" spans="5:21" ht="12.55">
      <c r="E864" s="248"/>
      <c r="F864" s="248"/>
      <c r="U864" s="248"/>
    </row>
    <row r="865" spans="5:21" ht="12.55">
      <c r="E865" s="248"/>
      <c r="F865" s="248"/>
      <c r="U865" s="248"/>
    </row>
    <row r="866" spans="5:21" ht="12.55">
      <c r="E866" s="248"/>
      <c r="F866" s="248"/>
      <c r="U866" s="248"/>
    </row>
    <row r="867" spans="5:21" ht="12.55">
      <c r="E867" s="248"/>
      <c r="F867" s="248"/>
      <c r="U867" s="248"/>
    </row>
    <row r="868" spans="5:21" ht="12.55">
      <c r="E868" s="248"/>
      <c r="F868" s="248"/>
      <c r="U868" s="248"/>
    </row>
    <row r="869" spans="5:21" ht="12.55">
      <c r="E869" s="248"/>
      <c r="F869" s="248"/>
      <c r="U869" s="248"/>
    </row>
    <row r="870" spans="5:21" ht="12.55">
      <c r="E870" s="248"/>
      <c r="F870" s="248"/>
      <c r="U870" s="248"/>
    </row>
    <row r="871" spans="5:21" ht="12.55">
      <c r="E871" s="248"/>
      <c r="F871" s="248"/>
      <c r="U871" s="248"/>
    </row>
    <row r="872" spans="5:21" ht="12.55">
      <c r="E872" s="248"/>
      <c r="F872" s="248"/>
      <c r="U872" s="248"/>
    </row>
    <row r="873" spans="5:21" ht="12.55">
      <c r="E873" s="248"/>
      <c r="F873" s="248"/>
      <c r="U873" s="248"/>
    </row>
    <row r="874" spans="5:21" ht="12.55">
      <c r="E874" s="248"/>
      <c r="F874" s="248"/>
      <c r="U874" s="248"/>
    </row>
    <row r="875" spans="5:21" ht="12.55">
      <c r="E875" s="248"/>
      <c r="F875" s="248"/>
      <c r="U875" s="248"/>
    </row>
    <row r="876" spans="5:21" ht="12.55">
      <c r="E876" s="248"/>
      <c r="F876" s="248"/>
      <c r="U876" s="248"/>
    </row>
    <row r="877" spans="5:21" ht="12.55">
      <c r="E877" s="248"/>
      <c r="F877" s="248"/>
      <c r="U877" s="248"/>
    </row>
    <row r="878" spans="5:21" ht="12.55">
      <c r="E878" s="248"/>
      <c r="F878" s="248"/>
      <c r="U878" s="248"/>
    </row>
    <row r="879" spans="5:21" ht="12.55">
      <c r="E879" s="248"/>
      <c r="F879" s="248"/>
      <c r="U879" s="248"/>
    </row>
    <row r="880" spans="5:21" ht="12.55">
      <c r="E880" s="248"/>
      <c r="F880" s="248"/>
      <c r="U880" s="248"/>
    </row>
    <row r="881" spans="5:21" ht="12.55">
      <c r="E881" s="248"/>
      <c r="F881" s="248"/>
      <c r="U881" s="248"/>
    </row>
    <row r="882" spans="5:21" ht="12.55">
      <c r="E882" s="248"/>
      <c r="F882" s="248"/>
      <c r="U882" s="248"/>
    </row>
    <row r="883" spans="5:21" ht="12.55">
      <c r="E883" s="248"/>
      <c r="F883" s="248"/>
      <c r="U883" s="248"/>
    </row>
    <row r="884" spans="5:21" ht="12.55">
      <c r="E884" s="248"/>
      <c r="F884" s="248"/>
      <c r="U884" s="248"/>
    </row>
    <row r="885" spans="5:21" ht="12.55">
      <c r="E885" s="248"/>
      <c r="F885" s="248"/>
      <c r="U885" s="248"/>
    </row>
    <row r="886" spans="5:21" ht="12.55">
      <c r="E886" s="248"/>
      <c r="F886" s="248"/>
      <c r="U886" s="248"/>
    </row>
    <row r="887" spans="5:21" ht="12.55">
      <c r="E887" s="248"/>
      <c r="F887" s="248"/>
      <c r="U887" s="248"/>
    </row>
    <row r="888" spans="5:21" ht="12.55">
      <c r="E888" s="248"/>
      <c r="F888" s="248"/>
      <c r="U888" s="248"/>
    </row>
    <row r="889" spans="5:21" ht="12.55">
      <c r="E889" s="248"/>
      <c r="F889" s="248"/>
      <c r="U889" s="248"/>
    </row>
    <row r="890" spans="5:21" ht="12.55">
      <c r="E890" s="248"/>
      <c r="F890" s="248"/>
      <c r="U890" s="248"/>
    </row>
    <row r="891" spans="5:21" ht="12.55">
      <c r="E891" s="248"/>
      <c r="F891" s="248"/>
      <c r="U891" s="248"/>
    </row>
    <row r="892" spans="5:21" ht="12.55">
      <c r="E892" s="248"/>
      <c r="F892" s="248"/>
      <c r="U892" s="248"/>
    </row>
    <row r="893" spans="5:21" ht="12.55">
      <c r="E893" s="248"/>
      <c r="F893" s="248"/>
      <c r="U893" s="248"/>
    </row>
    <row r="894" spans="5:21" ht="12.55">
      <c r="E894" s="248"/>
      <c r="F894" s="248"/>
      <c r="U894" s="248"/>
    </row>
    <row r="895" spans="5:21" ht="12.55">
      <c r="E895" s="248"/>
      <c r="F895" s="248"/>
      <c r="U895" s="248"/>
    </row>
    <row r="896" spans="5:21" ht="12.55">
      <c r="E896" s="248"/>
      <c r="F896" s="248"/>
      <c r="U896" s="248"/>
    </row>
    <row r="897" spans="5:21" ht="12.55">
      <c r="E897" s="248"/>
      <c r="F897" s="248"/>
      <c r="U897" s="248"/>
    </row>
    <row r="898" spans="5:21" ht="12.55">
      <c r="E898" s="248"/>
      <c r="F898" s="248"/>
      <c r="U898" s="248"/>
    </row>
    <row r="899" spans="5:21" ht="12.55">
      <c r="E899" s="248"/>
      <c r="F899" s="248"/>
      <c r="U899" s="248"/>
    </row>
    <row r="900" spans="5:21" ht="12.55">
      <c r="E900" s="248"/>
      <c r="F900" s="248"/>
      <c r="U900" s="248"/>
    </row>
    <row r="901" spans="5:21" ht="12.55">
      <c r="E901" s="248"/>
      <c r="F901" s="248"/>
      <c r="U901" s="248"/>
    </row>
    <row r="902" spans="5:21" ht="12.55">
      <c r="E902" s="248"/>
      <c r="F902" s="248"/>
      <c r="U902" s="248"/>
    </row>
    <row r="903" spans="5:21" ht="12.55">
      <c r="E903" s="248"/>
      <c r="F903" s="248"/>
      <c r="U903" s="248"/>
    </row>
    <row r="904" spans="5:21" ht="12.55">
      <c r="E904" s="248"/>
      <c r="F904" s="248"/>
      <c r="U904" s="248"/>
    </row>
    <row r="905" spans="5:21" ht="12.55">
      <c r="E905" s="248"/>
      <c r="F905" s="248"/>
      <c r="U905" s="248"/>
    </row>
    <row r="906" spans="5:21" ht="12.55">
      <c r="E906" s="248"/>
      <c r="F906" s="248"/>
      <c r="U906" s="248"/>
    </row>
    <row r="907" spans="5:21" ht="12.55">
      <c r="E907" s="248"/>
      <c r="F907" s="248"/>
      <c r="U907" s="248"/>
    </row>
    <row r="908" spans="5:21" ht="12.55">
      <c r="E908" s="248"/>
      <c r="F908" s="248"/>
      <c r="U908" s="248"/>
    </row>
    <row r="909" spans="5:21" ht="12.55">
      <c r="E909" s="248"/>
      <c r="F909" s="248"/>
      <c r="U909" s="248"/>
    </row>
    <row r="910" spans="5:21" ht="12.55">
      <c r="E910" s="248"/>
      <c r="F910" s="248"/>
      <c r="U910" s="248"/>
    </row>
    <row r="911" spans="5:21" ht="12.55">
      <c r="E911" s="248"/>
      <c r="F911" s="248"/>
      <c r="U911" s="248"/>
    </row>
    <row r="912" spans="5:21" ht="12.55">
      <c r="E912" s="248"/>
      <c r="F912" s="248"/>
      <c r="U912" s="248"/>
    </row>
    <row r="913" spans="5:21" ht="12.55">
      <c r="E913" s="248"/>
      <c r="F913" s="248"/>
      <c r="U913" s="248"/>
    </row>
    <row r="914" spans="5:21" ht="12.55">
      <c r="E914" s="248"/>
      <c r="F914" s="248"/>
      <c r="U914" s="248"/>
    </row>
    <row r="915" spans="5:21" ht="12.55">
      <c r="E915" s="248"/>
      <c r="F915" s="248"/>
      <c r="U915" s="248"/>
    </row>
    <row r="916" spans="5:21" ht="12.55">
      <c r="E916" s="248"/>
      <c r="F916" s="248"/>
      <c r="U916" s="248"/>
    </row>
    <row r="917" spans="5:21" ht="12.55">
      <c r="E917" s="248"/>
      <c r="F917" s="248"/>
      <c r="U917" s="248"/>
    </row>
    <row r="918" spans="5:21" ht="12.55">
      <c r="E918" s="248"/>
      <c r="F918" s="248"/>
      <c r="U918" s="248"/>
    </row>
    <row r="919" spans="5:21" ht="12.55">
      <c r="E919" s="248"/>
      <c r="F919" s="248"/>
      <c r="U919" s="248"/>
    </row>
    <row r="920" spans="5:21" ht="12.55">
      <c r="E920" s="248"/>
      <c r="F920" s="248"/>
      <c r="U920" s="248"/>
    </row>
    <row r="921" spans="5:21" ht="12.55">
      <c r="E921" s="248"/>
      <c r="F921" s="248"/>
      <c r="U921" s="248"/>
    </row>
    <row r="922" spans="5:21" ht="12.55">
      <c r="E922" s="248"/>
      <c r="F922" s="248"/>
      <c r="U922" s="248"/>
    </row>
    <row r="923" spans="5:21" ht="12.55">
      <c r="E923" s="248"/>
      <c r="F923" s="248"/>
      <c r="U923" s="248"/>
    </row>
    <row r="924" spans="5:21" ht="12.55">
      <c r="E924" s="248"/>
      <c r="F924" s="248"/>
      <c r="U924" s="248"/>
    </row>
    <row r="925" spans="5:21" ht="12.55">
      <c r="E925" s="248"/>
      <c r="F925" s="248"/>
      <c r="U925" s="248"/>
    </row>
    <row r="926" spans="5:21" ht="12.55">
      <c r="E926" s="248"/>
      <c r="F926" s="248"/>
      <c r="U926" s="248"/>
    </row>
    <row r="927" spans="5:21" ht="12.55">
      <c r="E927" s="248"/>
      <c r="F927" s="248"/>
      <c r="U927" s="248"/>
    </row>
    <row r="928" spans="5:21" ht="12.55">
      <c r="E928" s="248"/>
      <c r="F928" s="248"/>
      <c r="U928" s="248"/>
    </row>
    <row r="929" spans="5:21" ht="12.55">
      <c r="E929" s="248"/>
      <c r="F929" s="248"/>
      <c r="U929" s="248"/>
    </row>
    <row r="930" spans="5:21" ht="12.55">
      <c r="E930" s="248"/>
      <c r="F930" s="248"/>
      <c r="U930" s="248"/>
    </row>
    <row r="931" spans="5:21" ht="12.55">
      <c r="E931" s="248"/>
      <c r="F931" s="248"/>
      <c r="U931" s="248"/>
    </row>
    <row r="932" spans="5:21" ht="12.55">
      <c r="E932" s="248"/>
      <c r="F932" s="248"/>
      <c r="U932" s="248"/>
    </row>
    <row r="933" spans="5:21" ht="12.55">
      <c r="E933" s="248"/>
      <c r="F933" s="248"/>
      <c r="U933" s="248"/>
    </row>
    <row r="934" spans="5:21" ht="12.55">
      <c r="E934" s="248"/>
      <c r="F934" s="248"/>
      <c r="U934" s="248"/>
    </row>
    <row r="935" spans="5:21" ht="12.55">
      <c r="E935" s="248"/>
      <c r="F935" s="248"/>
      <c r="U935" s="248"/>
    </row>
    <row r="936" spans="5:21" ht="12.55">
      <c r="E936" s="248"/>
      <c r="F936" s="248"/>
      <c r="U936" s="248"/>
    </row>
    <row r="937" spans="5:21" ht="12.55">
      <c r="E937" s="248"/>
      <c r="F937" s="248"/>
      <c r="U937" s="248"/>
    </row>
    <row r="938" spans="5:21" ht="12.55">
      <c r="E938" s="248"/>
      <c r="F938" s="248"/>
      <c r="U938" s="248"/>
    </row>
    <row r="939" spans="5:21" ht="12.55">
      <c r="E939" s="248"/>
      <c r="F939" s="248"/>
      <c r="U939" s="248"/>
    </row>
    <row r="940" spans="5:21" ht="12.55">
      <c r="E940" s="248"/>
      <c r="F940" s="248"/>
      <c r="U940" s="248"/>
    </row>
    <row r="941" spans="5:21" ht="12.55">
      <c r="E941" s="248"/>
      <c r="F941" s="248"/>
      <c r="U941" s="248"/>
    </row>
    <row r="942" spans="5:21" ht="12.55">
      <c r="E942" s="248"/>
      <c r="F942" s="248"/>
      <c r="U942" s="248"/>
    </row>
    <row r="943" spans="5:21" ht="12.55">
      <c r="E943" s="248"/>
      <c r="F943" s="248"/>
      <c r="U943" s="248"/>
    </row>
    <row r="944" spans="5:21" ht="12.55">
      <c r="E944" s="248"/>
      <c r="F944" s="248"/>
      <c r="U944" s="248"/>
    </row>
    <row r="945" spans="5:21" ht="12.55">
      <c r="E945" s="248"/>
      <c r="F945" s="248"/>
      <c r="U945" s="248"/>
    </row>
    <row r="946" spans="5:21" ht="12.55">
      <c r="E946" s="248"/>
      <c r="F946" s="248"/>
      <c r="U946" s="248"/>
    </row>
    <row r="947" spans="5:21" ht="12.55">
      <c r="E947" s="248"/>
      <c r="F947" s="248"/>
      <c r="U947" s="248"/>
    </row>
    <row r="948" spans="5:21" ht="12.55">
      <c r="E948" s="248"/>
      <c r="F948" s="248"/>
      <c r="U948" s="248"/>
    </row>
    <row r="949" spans="5:21" ht="12.55">
      <c r="E949" s="248"/>
      <c r="F949" s="248"/>
      <c r="U949" s="248"/>
    </row>
    <row r="950" spans="5:21" ht="12.55">
      <c r="E950" s="248"/>
      <c r="F950" s="248"/>
      <c r="U950" s="248"/>
    </row>
    <row r="951" spans="5:21" ht="12.55">
      <c r="E951" s="248"/>
      <c r="F951" s="248"/>
      <c r="U951" s="248"/>
    </row>
    <row r="952" spans="5:21" ht="12.55">
      <c r="E952" s="248"/>
      <c r="F952" s="248"/>
      <c r="U952" s="248"/>
    </row>
    <row r="953" spans="5:21" ht="12.55">
      <c r="E953" s="248"/>
      <c r="F953" s="248"/>
      <c r="U953" s="248"/>
    </row>
    <row r="954" spans="5:21" ht="12.55">
      <c r="E954" s="248"/>
      <c r="F954" s="248"/>
      <c r="U954" s="248"/>
    </row>
    <row r="955" spans="5:21" ht="12.55">
      <c r="E955" s="248"/>
      <c r="F955" s="248"/>
      <c r="U955" s="248"/>
    </row>
    <row r="956" spans="5:21" ht="12.55">
      <c r="E956" s="248"/>
      <c r="F956" s="248"/>
      <c r="U956" s="248"/>
    </row>
    <row r="957" spans="5:21" ht="12.55">
      <c r="E957" s="248"/>
      <c r="F957" s="248"/>
      <c r="U957" s="248"/>
    </row>
    <row r="958" spans="5:21" ht="12.55">
      <c r="E958" s="248"/>
      <c r="F958" s="248"/>
      <c r="U958" s="248"/>
    </row>
    <row r="959" spans="5:21" ht="12.55">
      <c r="E959" s="248"/>
      <c r="F959" s="248"/>
      <c r="U959" s="248"/>
    </row>
    <row r="960" spans="5:21" ht="12.55">
      <c r="E960" s="248"/>
      <c r="F960" s="248"/>
      <c r="U960" s="248"/>
    </row>
    <row r="961" spans="5:21" ht="12.55">
      <c r="E961" s="248"/>
      <c r="F961" s="248"/>
      <c r="U961" s="248"/>
    </row>
    <row r="962" spans="5:21" ht="12.55">
      <c r="E962" s="248"/>
      <c r="F962" s="248"/>
      <c r="U962" s="248"/>
    </row>
    <row r="963" spans="5:21" ht="12.55">
      <c r="E963" s="248"/>
      <c r="F963" s="248"/>
      <c r="U963" s="248"/>
    </row>
    <row r="964" spans="5:21" ht="12.55">
      <c r="E964" s="248"/>
      <c r="F964" s="248"/>
      <c r="U964" s="248"/>
    </row>
    <row r="965" spans="5:21" ht="12.55">
      <c r="E965" s="248"/>
      <c r="F965" s="248"/>
      <c r="U965" s="248"/>
    </row>
    <row r="966" spans="5:21" ht="12.55">
      <c r="E966" s="248"/>
      <c r="F966" s="248"/>
      <c r="U966" s="248"/>
    </row>
    <row r="967" spans="5:21" ht="12.55">
      <c r="E967" s="248"/>
      <c r="F967" s="248"/>
      <c r="U967" s="248"/>
    </row>
    <row r="968" spans="5:21" ht="12.55">
      <c r="E968" s="248"/>
      <c r="F968" s="248"/>
      <c r="U968" s="248"/>
    </row>
    <row r="969" spans="5:21" ht="12.55">
      <c r="E969" s="248"/>
      <c r="F969" s="248"/>
      <c r="U969" s="248"/>
    </row>
    <row r="970" spans="5:21" ht="12.55">
      <c r="E970" s="248"/>
      <c r="F970" s="248"/>
      <c r="U970" s="248"/>
    </row>
    <row r="971" spans="5:21" ht="12.55">
      <c r="E971" s="248"/>
      <c r="F971" s="248"/>
      <c r="U971" s="248"/>
    </row>
    <row r="972" spans="5:21" ht="12.55">
      <c r="E972" s="248"/>
      <c r="F972" s="248"/>
      <c r="U972" s="248"/>
    </row>
    <row r="973" spans="5:21" ht="12.55">
      <c r="E973" s="248"/>
      <c r="F973" s="248"/>
      <c r="U973" s="248"/>
    </row>
    <row r="974" spans="5:21" ht="12.55">
      <c r="E974" s="248"/>
      <c r="F974" s="248"/>
      <c r="U974" s="248"/>
    </row>
    <row r="975" spans="5:21" ht="12.55">
      <c r="E975" s="248"/>
      <c r="F975" s="248"/>
      <c r="U975" s="248"/>
    </row>
    <row r="976" spans="5:21" ht="12.55">
      <c r="E976" s="248"/>
      <c r="F976" s="248"/>
      <c r="U976" s="248"/>
    </row>
    <row r="977" spans="5:21" ht="12.55">
      <c r="E977" s="248"/>
      <c r="F977" s="248"/>
      <c r="U977" s="248"/>
    </row>
    <row r="978" spans="5:21" ht="12.55">
      <c r="E978" s="248"/>
      <c r="F978" s="248"/>
      <c r="U978" s="248"/>
    </row>
    <row r="979" spans="5:21" ht="12.55">
      <c r="E979" s="248"/>
      <c r="F979" s="248"/>
      <c r="U979" s="248"/>
    </row>
    <row r="980" spans="5:21" ht="12.55">
      <c r="E980" s="248"/>
      <c r="F980" s="248"/>
      <c r="U980" s="248"/>
    </row>
    <row r="981" spans="5:21" ht="12.55">
      <c r="E981" s="248"/>
      <c r="F981" s="248"/>
      <c r="U981" s="248"/>
    </row>
    <row r="982" spans="5:21" ht="12.55">
      <c r="E982" s="248"/>
      <c r="F982" s="248"/>
      <c r="U982" s="248"/>
    </row>
    <row r="983" spans="5:21" ht="12.55">
      <c r="E983" s="248"/>
      <c r="F983" s="248"/>
      <c r="U983" s="248"/>
    </row>
    <row r="984" spans="5:21" ht="12.55">
      <c r="E984" s="248"/>
      <c r="F984" s="248"/>
      <c r="U984" s="248"/>
    </row>
    <row r="985" spans="5:21" ht="12.55">
      <c r="E985" s="248"/>
      <c r="F985" s="248"/>
      <c r="U985" s="248"/>
    </row>
    <row r="986" spans="5:21" ht="12.55">
      <c r="E986" s="248"/>
      <c r="F986" s="248"/>
      <c r="U986" s="248"/>
    </row>
    <row r="987" spans="5:21" ht="12.55">
      <c r="E987" s="248"/>
      <c r="F987" s="248"/>
      <c r="U987" s="248"/>
    </row>
    <row r="988" spans="5:21" ht="12.55">
      <c r="E988" s="248"/>
      <c r="F988" s="248"/>
      <c r="U988" s="248"/>
    </row>
    <row r="989" spans="5:21" ht="12.55">
      <c r="E989" s="248"/>
      <c r="F989" s="248"/>
      <c r="U989" s="248"/>
    </row>
    <row r="990" spans="5:21" ht="12.55">
      <c r="E990" s="248"/>
      <c r="F990" s="248"/>
      <c r="U990" s="248"/>
    </row>
    <row r="991" spans="5:21" ht="12.55">
      <c r="E991" s="248"/>
      <c r="F991" s="248"/>
      <c r="U991" s="248"/>
    </row>
    <row r="992" spans="5:21" ht="12.55">
      <c r="E992" s="248"/>
      <c r="F992" s="248"/>
      <c r="U992" s="248"/>
    </row>
    <row r="993" spans="5:21" ht="12.55">
      <c r="E993" s="248"/>
      <c r="F993" s="248"/>
      <c r="U993" s="248"/>
    </row>
    <row r="994" spans="5:21" ht="12.55">
      <c r="E994" s="248"/>
      <c r="F994" s="248"/>
      <c r="U994" s="248"/>
    </row>
    <row r="995" spans="5:21" ht="12.55">
      <c r="E995" s="248"/>
      <c r="F995" s="248"/>
      <c r="U995" s="248"/>
    </row>
    <row r="996" spans="5:21" ht="12.55">
      <c r="E996" s="248"/>
      <c r="F996" s="248"/>
      <c r="U996" s="248"/>
    </row>
    <row r="997" spans="5:21" ht="12.55">
      <c r="E997" s="248"/>
      <c r="F997" s="248"/>
      <c r="U997" s="248"/>
    </row>
    <row r="998" spans="5:21" ht="12.55">
      <c r="E998" s="248"/>
      <c r="F998" s="248"/>
      <c r="U998" s="248"/>
    </row>
    <row r="999" spans="5:21" ht="12.55">
      <c r="E999" s="248"/>
      <c r="F999" s="248"/>
      <c r="U999" s="248"/>
    </row>
    <row r="1000" spans="5:21" ht="12.55">
      <c r="E1000" s="248"/>
      <c r="F1000" s="248"/>
      <c r="U1000" s="248"/>
    </row>
    <row r="1001" spans="5:21" ht="12.55">
      <c r="E1001" s="248"/>
      <c r="F1001" s="248"/>
      <c r="U1001" s="248"/>
    </row>
    <row r="1002" spans="5:21" ht="12.55">
      <c r="E1002" s="248"/>
      <c r="F1002" s="248"/>
      <c r="U1002" s="248"/>
    </row>
    <row r="1003" spans="5:21" ht="12.55">
      <c r="E1003" s="248"/>
      <c r="F1003" s="248"/>
      <c r="U1003" s="248"/>
    </row>
    <row r="1004" spans="5:21" ht="12.55">
      <c r="E1004" s="248"/>
      <c r="F1004" s="248"/>
      <c r="U1004" s="248"/>
    </row>
    <row r="1005" spans="5:21" ht="12.55">
      <c r="E1005" s="248"/>
      <c r="F1005" s="248"/>
      <c r="U1005" s="248"/>
    </row>
    <row r="1006" spans="5:21" ht="12.55">
      <c r="E1006" s="248"/>
      <c r="F1006" s="248"/>
      <c r="U1006" s="248"/>
    </row>
    <row r="1007" spans="5:21" ht="12.55">
      <c r="E1007" s="248"/>
      <c r="F1007" s="248"/>
      <c r="U1007" s="248"/>
    </row>
  </sheetData>
  <printOptions horizontalCentered="1" gridLines="1"/>
  <pageMargins left="0.7" right="0.7" top="0.75" bottom="0.75" header="0" footer="0"/>
  <pageSetup fitToHeight="0" pageOrder="overThenDown" orientation="landscape" cellComments="atEnd"/>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X90"/>
  <sheetViews>
    <sheetView workbookViewId="0">
      <pane xSplit="1" ySplit="1" topLeftCell="U2" activePane="bottomRight" state="frozen"/>
      <selection pane="topRight" activeCell="B1" sqref="B1"/>
      <selection pane="bottomLeft" activeCell="A2" sqref="A2"/>
      <selection pane="bottomRight" activeCell="I6" sqref="I6"/>
    </sheetView>
  </sheetViews>
  <sheetFormatPr defaultColWidth="17.33203125" defaultRowHeight="15.85" customHeight="1"/>
  <cols>
    <col min="1" max="1" width="27.109375" customWidth="1"/>
    <col min="2" max="2" width="21.5546875" customWidth="1"/>
    <col min="3" max="3" width="17.44140625" customWidth="1"/>
    <col min="4" max="4" width="8.33203125" customWidth="1"/>
    <col min="5" max="5" width="3.33203125" customWidth="1"/>
    <col min="6" max="6" width="23.88671875" customWidth="1"/>
    <col min="7" max="7" width="30" customWidth="1"/>
    <col min="8" max="8" width="7.21875" customWidth="1"/>
    <col min="9" max="9" width="13" customWidth="1"/>
    <col min="10" max="10" width="22" customWidth="1"/>
    <col min="11" max="11" width="19.44140625" customWidth="1"/>
    <col min="12" max="12" width="5.44140625" customWidth="1"/>
    <col min="13" max="13" width="17.33203125" customWidth="1"/>
    <col min="14" max="14" width="17.109375" customWidth="1"/>
    <col min="15" max="15" width="16.109375" customWidth="1"/>
    <col min="16" max="16" width="23.88671875" customWidth="1"/>
    <col min="17" max="17" width="40" customWidth="1"/>
    <col min="18" max="18" width="21.33203125" customWidth="1"/>
    <col min="19" max="19" width="20.5546875" customWidth="1"/>
    <col min="20" max="20" width="16.109375" customWidth="1"/>
    <col min="21" max="21" width="14.44140625" customWidth="1"/>
    <col min="22" max="22" width="31.6640625" customWidth="1"/>
    <col min="23" max="23" width="7" customWidth="1"/>
    <col min="24" max="24" width="29.5546875" customWidth="1"/>
  </cols>
  <sheetData>
    <row r="1" spans="1:24" ht="15.05" customHeight="1">
      <c r="A1" s="4" t="s">
        <v>0</v>
      </c>
      <c r="B1" s="7" t="s">
        <v>3</v>
      </c>
      <c r="C1" s="4" t="s">
        <v>5</v>
      </c>
      <c r="D1" s="4" t="s">
        <v>6</v>
      </c>
      <c r="E1" s="8" t="s">
        <v>10</v>
      </c>
      <c r="F1" s="4" t="s">
        <v>13</v>
      </c>
      <c r="G1" s="4" t="s">
        <v>12</v>
      </c>
      <c r="H1" s="4" t="s">
        <v>14</v>
      </c>
      <c r="I1" s="7" t="s">
        <v>15</v>
      </c>
      <c r="J1" s="7" t="s">
        <v>16</v>
      </c>
      <c r="K1" s="7" t="s">
        <v>17</v>
      </c>
      <c r="L1" s="7" t="s">
        <v>18</v>
      </c>
      <c r="M1" s="7" t="s">
        <v>19</v>
      </c>
      <c r="N1" s="7" t="s">
        <v>20</v>
      </c>
      <c r="O1" s="7" t="s">
        <v>21</v>
      </c>
      <c r="P1" s="7" t="s">
        <v>22</v>
      </c>
      <c r="Q1" s="7" t="s">
        <v>23</v>
      </c>
      <c r="R1" s="7" t="s">
        <v>24</v>
      </c>
      <c r="S1" s="7" t="s">
        <v>25</v>
      </c>
      <c r="T1" s="7" t="s">
        <v>26</v>
      </c>
      <c r="U1" s="7" t="s">
        <v>30</v>
      </c>
      <c r="V1" s="11" t="s">
        <v>456</v>
      </c>
      <c r="W1" s="13" t="s">
        <v>32</v>
      </c>
      <c r="X1" s="13" t="s">
        <v>1038</v>
      </c>
    </row>
    <row r="2" spans="1:24" ht="15.05" customHeight="1">
      <c r="A2" s="17">
        <v>41644</v>
      </c>
      <c r="B2" s="25" t="s">
        <v>1039</v>
      </c>
      <c r="C2" s="25" t="s">
        <v>1040</v>
      </c>
      <c r="D2" s="25" t="s">
        <v>1041</v>
      </c>
      <c r="E2" s="23"/>
      <c r="F2" s="25" t="s">
        <v>1041</v>
      </c>
      <c r="G2" s="25" t="s">
        <v>40</v>
      </c>
      <c r="H2" s="25"/>
      <c r="I2" s="25"/>
      <c r="J2" s="25"/>
      <c r="L2" s="25"/>
      <c r="M2" s="25"/>
      <c r="N2" s="25"/>
      <c r="O2" s="25"/>
      <c r="P2" s="25"/>
      <c r="Q2" s="25"/>
      <c r="R2" s="25"/>
      <c r="S2" s="25"/>
      <c r="T2" s="25"/>
      <c r="U2" s="25"/>
      <c r="V2" s="26"/>
      <c r="W2" s="26"/>
      <c r="X2" s="26"/>
    </row>
    <row r="3" spans="1:24" ht="15.05" customHeight="1">
      <c r="A3" s="37">
        <f t="shared" ref="A3:A16" si="0">A2+7</f>
        <v>41651</v>
      </c>
      <c r="B3" s="25" t="s">
        <v>38</v>
      </c>
      <c r="C3" s="25" t="s">
        <v>1041</v>
      </c>
      <c r="D3" s="25" t="s">
        <v>1040</v>
      </c>
      <c r="E3" s="22" t="s">
        <v>167</v>
      </c>
      <c r="F3" s="25" t="s">
        <v>1040</v>
      </c>
      <c r="G3" s="25" t="s">
        <v>63</v>
      </c>
      <c r="H3" s="25"/>
      <c r="I3" s="25"/>
      <c r="J3" s="25"/>
      <c r="K3" s="25"/>
      <c r="L3" s="25"/>
      <c r="M3" s="25"/>
      <c r="N3" s="25"/>
      <c r="O3" s="25"/>
      <c r="P3" s="25"/>
      <c r="Q3" s="25"/>
      <c r="R3" s="25"/>
      <c r="S3" s="25"/>
      <c r="T3" s="25"/>
      <c r="U3" s="25"/>
      <c r="V3" s="26"/>
      <c r="W3" s="26"/>
      <c r="X3" s="26"/>
    </row>
    <row r="4" spans="1:24" ht="15.05" customHeight="1">
      <c r="A4" s="41">
        <f t="shared" si="0"/>
        <v>41658</v>
      </c>
      <c r="B4" s="51" t="s">
        <v>71</v>
      </c>
      <c r="C4" s="51" t="s">
        <v>1040</v>
      </c>
      <c r="D4" s="51" t="s">
        <v>1041</v>
      </c>
      <c r="E4" s="45"/>
      <c r="F4" s="51" t="s">
        <v>1041</v>
      </c>
      <c r="G4" s="51" t="s">
        <v>40</v>
      </c>
      <c r="H4" s="51"/>
      <c r="I4" s="51"/>
      <c r="J4" s="51"/>
      <c r="K4" s="51"/>
      <c r="L4" s="51"/>
      <c r="M4" s="51"/>
      <c r="N4" s="51"/>
      <c r="O4" s="51"/>
      <c r="P4" s="51"/>
      <c r="Q4" s="51"/>
      <c r="R4" s="51"/>
      <c r="S4" s="51"/>
      <c r="T4" s="51"/>
      <c r="U4" s="51"/>
      <c r="V4" s="53"/>
      <c r="W4" s="53"/>
      <c r="X4" s="53"/>
    </row>
    <row r="5" spans="1:24" ht="15.05" customHeight="1">
      <c r="A5" s="41">
        <f t="shared" si="0"/>
        <v>41665</v>
      </c>
      <c r="B5" s="51" t="s">
        <v>93</v>
      </c>
      <c r="C5" s="51" t="s">
        <v>1041</v>
      </c>
      <c r="D5" s="51" t="s">
        <v>1040</v>
      </c>
      <c r="E5" s="44" t="s">
        <v>167</v>
      </c>
      <c r="F5" s="51" t="s">
        <v>1040</v>
      </c>
      <c r="G5" s="51" t="s">
        <v>1050</v>
      </c>
      <c r="H5" s="51"/>
      <c r="I5" s="51"/>
      <c r="J5" s="56"/>
      <c r="K5" s="51"/>
      <c r="L5" s="51"/>
      <c r="M5" s="51"/>
      <c r="N5" s="51"/>
      <c r="O5" s="51"/>
      <c r="P5" s="51"/>
      <c r="Q5" s="51"/>
      <c r="R5" s="51"/>
      <c r="S5" s="51"/>
      <c r="T5" s="51"/>
      <c r="U5" s="51"/>
      <c r="V5" s="53"/>
      <c r="W5" s="53"/>
      <c r="X5" s="53"/>
    </row>
    <row r="6" spans="1:24" ht="15.05" customHeight="1">
      <c r="A6" s="41">
        <f t="shared" si="0"/>
        <v>41672</v>
      </c>
      <c r="B6" s="51" t="s">
        <v>107</v>
      </c>
      <c r="C6" s="51" t="s">
        <v>63</v>
      </c>
      <c r="D6" s="51" t="s">
        <v>1040</v>
      </c>
      <c r="E6" s="45"/>
      <c r="F6" s="51" t="s">
        <v>1041</v>
      </c>
      <c r="G6" s="51" t="s">
        <v>40</v>
      </c>
      <c r="H6" s="51"/>
      <c r="I6" s="51"/>
      <c r="J6" s="59"/>
      <c r="K6" s="51"/>
      <c r="L6" s="51"/>
      <c r="M6" s="51"/>
      <c r="N6" s="51"/>
      <c r="O6" s="51"/>
      <c r="P6" s="51"/>
      <c r="Q6" s="51"/>
      <c r="R6" s="51"/>
      <c r="S6" s="51"/>
      <c r="T6" s="51"/>
      <c r="U6" s="51"/>
      <c r="V6" s="53"/>
      <c r="W6" s="53"/>
      <c r="X6" s="53"/>
    </row>
    <row r="7" spans="1:24" ht="15.05" customHeight="1">
      <c r="A7" s="41">
        <f t="shared" si="0"/>
        <v>41679</v>
      </c>
      <c r="B7" s="51" t="s">
        <v>140</v>
      </c>
      <c r="C7" s="51" t="s">
        <v>1040</v>
      </c>
      <c r="D7" s="51" t="s">
        <v>1041</v>
      </c>
      <c r="E7" s="44" t="s">
        <v>167</v>
      </c>
      <c r="F7" s="51" t="s">
        <v>1041</v>
      </c>
      <c r="G7" s="51" t="s">
        <v>40</v>
      </c>
      <c r="H7" s="51"/>
      <c r="I7" s="51"/>
      <c r="J7" s="51"/>
      <c r="K7" s="51"/>
      <c r="L7" s="51"/>
      <c r="M7" s="51"/>
      <c r="N7" s="51"/>
      <c r="O7" s="51"/>
      <c r="P7" s="51"/>
      <c r="Q7" s="51"/>
      <c r="R7" s="51"/>
      <c r="S7" s="51"/>
      <c r="T7" s="51"/>
      <c r="U7" s="51"/>
      <c r="V7" s="53"/>
      <c r="W7" s="53"/>
      <c r="X7" s="53"/>
    </row>
    <row r="8" spans="1:24" ht="15.05" customHeight="1">
      <c r="A8" s="41">
        <f t="shared" si="0"/>
        <v>41686</v>
      </c>
      <c r="B8" s="51" t="s">
        <v>169</v>
      </c>
      <c r="C8" s="51" t="s">
        <v>1041</v>
      </c>
      <c r="D8" s="51" t="s">
        <v>1040</v>
      </c>
      <c r="E8" s="45"/>
      <c r="F8" s="51" t="s">
        <v>1040</v>
      </c>
      <c r="G8" s="51" t="s">
        <v>40</v>
      </c>
      <c r="H8" s="51"/>
      <c r="I8" s="51"/>
      <c r="J8" s="51"/>
      <c r="K8" s="51"/>
      <c r="L8" s="51"/>
      <c r="M8" s="51"/>
      <c r="N8" s="51"/>
      <c r="O8" s="51"/>
      <c r="P8" s="51"/>
      <c r="Q8" s="51"/>
      <c r="R8" s="51"/>
      <c r="S8" s="51"/>
      <c r="T8" s="51"/>
      <c r="U8" s="51"/>
      <c r="V8" s="53"/>
      <c r="W8" s="53"/>
      <c r="X8" s="53"/>
    </row>
    <row r="9" spans="1:24" ht="15.05" customHeight="1">
      <c r="A9" s="41">
        <f t="shared" si="0"/>
        <v>41693</v>
      </c>
      <c r="B9" s="51" t="s">
        <v>183</v>
      </c>
      <c r="C9" s="51" t="s">
        <v>1040</v>
      </c>
      <c r="D9" s="51" t="s">
        <v>1041</v>
      </c>
      <c r="E9" s="44" t="s">
        <v>167</v>
      </c>
      <c r="F9" s="51" t="s">
        <v>1041</v>
      </c>
      <c r="G9" s="51" t="s">
        <v>40</v>
      </c>
      <c r="H9" s="51"/>
      <c r="I9" s="51"/>
      <c r="J9" s="51"/>
      <c r="K9" s="51"/>
      <c r="L9" s="51"/>
      <c r="M9" s="51"/>
      <c r="N9" s="51"/>
      <c r="O9" s="51"/>
      <c r="P9" s="51"/>
      <c r="Q9" s="51"/>
      <c r="R9" s="51"/>
      <c r="S9" s="51"/>
      <c r="T9" s="51"/>
      <c r="U9" s="51"/>
      <c r="V9" s="53"/>
      <c r="W9" s="53"/>
      <c r="X9" s="53"/>
    </row>
    <row r="10" spans="1:24" ht="15.05" customHeight="1">
      <c r="A10" s="37">
        <f t="shared" si="0"/>
        <v>41700</v>
      </c>
      <c r="B10" s="25" t="s">
        <v>136</v>
      </c>
      <c r="C10" s="25" t="s">
        <v>40</v>
      </c>
      <c r="D10" s="25" t="s">
        <v>1040</v>
      </c>
      <c r="E10" s="23"/>
      <c r="F10" s="25" t="s">
        <v>1000</v>
      </c>
      <c r="G10" s="25" t="s">
        <v>1040</v>
      </c>
      <c r="H10" s="25"/>
      <c r="I10" s="25"/>
      <c r="J10" s="25"/>
      <c r="K10" s="25"/>
      <c r="L10" s="25"/>
      <c r="M10" s="25"/>
      <c r="N10" s="25"/>
      <c r="O10" s="25"/>
      <c r="P10" s="25"/>
      <c r="Q10" s="25"/>
      <c r="R10" s="25"/>
      <c r="S10" s="25"/>
      <c r="T10" s="25"/>
      <c r="U10" s="25"/>
      <c r="V10" s="26"/>
      <c r="W10" s="26"/>
      <c r="X10" s="26"/>
    </row>
    <row r="11" spans="1:24" ht="15.05" customHeight="1">
      <c r="A11" s="68">
        <f t="shared" si="0"/>
        <v>41707</v>
      </c>
      <c r="B11" s="69" t="s">
        <v>163</v>
      </c>
      <c r="C11" s="69" t="s">
        <v>1040</v>
      </c>
      <c r="D11" s="69" t="s">
        <v>40</v>
      </c>
      <c r="E11" s="71" t="s">
        <v>167</v>
      </c>
      <c r="F11" s="69" t="s">
        <v>1041</v>
      </c>
      <c r="G11" s="266" t="s">
        <v>1061</v>
      </c>
      <c r="H11" s="69"/>
      <c r="I11" s="69"/>
      <c r="J11" s="69"/>
      <c r="K11" s="69"/>
      <c r="L11" s="69"/>
      <c r="M11" s="69"/>
      <c r="N11" s="69"/>
      <c r="O11" s="69"/>
      <c r="P11" s="69"/>
      <c r="Q11" s="69"/>
      <c r="R11" s="69"/>
      <c r="S11" s="69"/>
      <c r="T11" s="69"/>
      <c r="U11" s="69"/>
      <c r="V11" s="73"/>
      <c r="W11" s="73"/>
      <c r="X11" s="73"/>
    </row>
    <row r="12" spans="1:24" ht="15.05" customHeight="1">
      <c r="A12" s="68">
        <f t="shared" si="0"/>
        <v>41714</v>
      </c>
      <c r="B12" s="69" t="s">
        <v>197</v>
      </c>
      <c r="C12" s="69" t="s">
        <v>63</v>
      </c>
      <c r="D12" s="69" t="s">
        <v>1041</v>
      </c>
      <c r="E12" s="78"/>
      <c r="F12" s="69" t="s">
        <v>40</v>
      </c>
      <c r="G12" s="69" t="s">
        <v>1040</v>
      </c>
      <c r="H12" s="69"/>
      <c r="I12" s="69"/>
      <c r="J12" s="69"/>
      <c r="K12" s="69"/>
      <c r="L12" s="69"/>
      <c r="M12" s="69"/>
      <c r="N12" s="69"/>
      <c r="O12" s="69"/>
      <c r="P12" s="69"/>
      <c r="Q12" s="69"/>
      <c r="R12" s="69"/>
      <c r="S12" s="69"/>
      <c r="T12" s="69"/>
      <c r="U12" s="69"/>
      <c r="V12" s="73"/>
      <c r="W12" s="73"/>
      <c r="X12" s="73"/>
    </row>
    <row r="13" spans="1:24" ht="15.05" customHeight="1">
      <c r="A13" s="68">
        <f t="shared" si="0"/>
        <v>41721</v>
      </c>
      <c r="B13" s="69" t="s">
        <v>220</v>
      </c>
      <c r="C13" s="69" t="s">
        <v>40</v>
      </c>
      <c r="D13" s="69" t="s">
        <v>1041</v>
      </c>
      <c r="E13" s="71" t="s">
        <v>167</v>
      </c>
      <c r="F13" s="69" t="s">
        <v>1041</v>
      </c>
      <c r="G13" s="69" t="s">
        <v>1040</v>
      </c>
      <c r="H13" s="69"/>
      <c r="I13" s="69"/>
      <c r="J13" s="69"/>
      <c r="K13" s="69"/>
      <c r="L13" s="69"/>
      <c r="M13" s="69"/>
      <c r="N13" s="69"/>
      <c r="O13" s="69"/>
      <c r="P13" s="69"/>
      <c r="Q13" s="69"/>
      <c r="R13" s="69"/>
      <c r="S13" s="69"/>
      <c r="T13" s="69"/>
      <c r="U13" s="69"/>
      <c r="V13" s="73"/>
      <c r="W13" s="73"/>
      <c r="X13" s="73"/>
    </row>
    <row r="14" spans="1:24" ht="15.05" customHeight="1">
      <c r="A14" s="68">
        <f t="shared" si="0"/>
        <v>41728</v>
      </c>
      <c r="B14" s="69" t="s">
        <v>238</v>
      </c>
      <c r="C14" s="69" t="s">
        <v>40</v>
      </c>
      <c r="D14" s="69" t="s">
        <v>1041</v>
      </c>
      <c r="E14" s="71" t="s">
        <v>167</v>
      </c>
      <c r="F14" s="69" t="s">
        <v>1041</v>
      </c>
      <c r="G14" s="69" t="s">
        <v>1040</v>
      </c>
      <c r="H14" s="69"/>
      <c r="I14" s="69"/>
      <c r="J14" s="69"/>
      <c r="K14" s="69"/>
      <c r="L14" s="69"/>
      <c r="M14" s="69"/>
      <c r="N14" s="69"/>
      <c r="O14" s="69"/>
      <c r="P14" s="69"/>
      <c r="Q14" s="69"/>
      <c r="R14" s="69"/>
      <c r="S14" s="69"/>
      <c r="T14" s="69"/>
      <c r="U14" s="69"/>
      <c r="V14" s="73"/>
      <c r="W14" s="73"/>
      <c r="X14" s="73"/>
    </row>
    <row r="15" spans="1:24" ht="15.05" customHeight="1">
      <c r="A15" s="68">
        <f t="shared" si="0"/>
        <v>41735</v>
      </c>
      <c r="B15" s="69" t="s">
        <v>262</v>
      </c>
      <c r="C15" s="69" t="s">
        <v>1041</v>
      </c>
      <c r="D15" s="69" t="s">
        <v>40</v>
      </c>
      <c r="E15" s="78"/>
      <c r="F15" s="69" t="s">
        <v>40</v>
      </c>
      <c r="G15" s="69" t="s">
        <v>1040</v>
      </c>
      <c r="H15" s="69"/>
      <c r="I15" s="69"/>
      <c r="J15" s="69"/>
      <c r="K15" s="69"/>
      <c r="L15" s="69"/>
      <c r="M15" s="69"/>
      <c r="N15" s="69"/>
      <c r="O15" s="69"/>
      <c r="P15" s="69"/>
      <c r="Q15" s="69"/>
      <c r="R15" s="69"/>
      <c r="S15" s="69"/>
      <c r="T15" s="69"/>
      <c r="U15" s="69"/>
      <c r="V15" s="73"/>
      <c r="W15" s="73"/>
      <c r="X15" s="73"/>
    </row>
    <row r="16" spans="1:24" ht="15.05" customHeight="1">
      <c r="A16" s="68">
        <f t="shared" si="0"/>
        <v>41742</v>
      </c>
      <c r="B16" s="69" t="s">
        <v>393</v>
      </c>
      <c r="C16" s="69" t="s">
        <v>1041</v>
      </c>
      <c r="D16" s="69" t="s">
        <v>40</v>
      </c>
      <c r="E16" s="71" t="s">
        <v>167</v>
      </c>
      <c r="F16" s="69" t="s">
        <v>40</v>
      </c>
      <c r="G16" s="69" t="s">
        <v>1040</v>
      </c>
      <c r="H16" s="69"/>
      <c r="I16" s="69"/>
      <c r="J16" s="69"/>
      <c r="K16" s="69"/>
      <c r="L16" s="69"/>
      <c r="M16" s="69"/>
      <c r="N16" s="69"/>
      <c r="O16" s="69"/>
      <c r="P16" s="69"/>
      <c r="Q16" s="69"/>
      <c r="R16" s="69"/>
      <c r="S16" s="69"/>
      <c r="T16" s="69"/>
      <c r="U16" s="69"/>
      <c r="V16" s="73"/>
      <c r="W16" s="73"/>
      <c r="X16" s="73"/>
    </row>
    <row r="17" spans="1:24" ht="15.05" customHeight="1">
      <c r="A17" s="91">
        <v>41746</v>
      </c>
      <c r="B17" s="69" t="s">
        <v>297</v>
      </c>
      <c r="C17" s="69" t="s">
        <v>40</v>
      </c>
      <c r="D17" s="69" t="s">
        <v>40</v>
      </c>
      <c r="E17" s="71" t="s">
        <v>167</v>
      </c>
      <c r="F17" s="69" t="s">
        <v>943</v>
      </c>
      <c r="G17" s="69" t="s">
        <v>943</v>
      </c>
      <c r="H17" s="69"/>
      <c r="I17" s="69"/>
      <c r="J17" s="69"/>
      <c r="K17" s="69"/>
      <c r="L17" s="69"/>
      <c r="M17" s="69"/>
      <c r="N17" s="69"/>
      <c r="O17" s="69"/>
      <c r="P17" s="69"/>
      <c r="Q17" s="69"/>
      <c r="R17" s="69"/>
      <c r="S17" s="69"/>
      <c r="T17" s="69"/>
      <c r="U17" s="69"/>
      <c r="V17" s="73"/>
      <c r="W17" s="73"/>
      <c r="X17" s="73"/>
    </row>
    <row r="18" spans="1:24" ht="15.05" customHeight="1">
      <c r="A18" s="274">
        <v>41747</v>
      </c>
      <c r="B18" s="275" t="s">
        <v>423</v>
      </c>
      <c r="C18" s="275" t="s">
        <v>1040</v>
      </c>
      <c r="D18" s="275" t="s">
        <v>1040</v>
      </c>
      <c r="E18" s="276" t="s">
        <v>167</v>
      </c>
      <c r="F18" s="266" t="s">
        <v>943</v>
      </c>
      <c r="G18" s="266" t="s">
        <v>943</v>
      </c>
      <c r="H18" s="275"/>
      <c r="I18" s="121"/>
      <c r="J18" s="121"/>
      <c r="K18" s="121"/>
      <c r="L18" s="121"/>
      <c r="M18" s="121"/>
      <c r="N18" s="121"/>
      <c r="O18" s="121"/>
      <c r="P18" s="121"/>
      <c r="Q18" s="121"/>
      <c r="R18" s="121"/>
      <c r="S18" s="121"/>
      <c r="T18" s="121"/>
      <c r="U18" s="121"/>
      <c r="V18" s="163"/>
      <c r="W18" s="163"/>
      <c r="X18" s="163"/>
    </row>
    <row r="19" spans="1:24" ht="15.05" customHeight="1">
      <c r="A19" s="17">
        <v>41749</v>
      </c>
      <c r="B19" s="25" t="s">
        <v>326</v>
      </c>
      <c r="C19" s="25" t="s">
        <v>40</v>
      </c>
      <c r="D19" s="25" t="s">
        <v>40</v>
      </c>
      <c r="E19" s="23"/>
      <c r="F19" s="25" t="s">
        <v>943</v>
      </c>
      <c r="G19" s="25" t="s">
        <v>943</v>
      </c>
      <c r="H19" s="25"/>
      <c r="I19" s="25"/>
      <c r="J19" s="25"/>
      <c r="K19" s="25"/>
      <c r="L19" s="25"/>
      <c r="M19" s="25"/>
      <c r="N19" s="25"/>
      <c r="O19" s="25"/>
      <c r="P19" s="25"/>
      <c r="Q19" s="25"/>
      <c r="R19" s="25"/>
      <c r="S19" s="25"/>
      <c r="T19" s="25"/>
      <c r="U19" s="25"/>
      <c r="V19" s="26"/>
      <c r="W19" s="26"/>
      <c r="X19" s="26"/>
    </row>
    <row r="20" spans="1:24" ht="15.05" customHeight="1">
      <c r="A20" s="37">
        <f>A16+7</f>
        <v>41749</v>
      </c>
      <c r="B20" s="25" t="s">
        <v>334</v>
      </c>
      <c r="C20" s="25" t="s">
        <v>1041</v>
      </c>
      <c r="D20" s="25" t="s">
        <v>1040</v>
      </c>
      <c r="E20" s="23"/>
      <c r="F20" s="25" t="s">
        <v>943</v>
      </c>
      <c r="G20" s="25" t="s">
        <v>943</v>
      </c>
      <c r="H20" s="25"/>
      <c r="I20" s="25"/>
      <c r="J20" s="25"/>
      <c r="K20" s="25"/>
      <c r="L20" s="25"/>
      <c r="M20" s="25"/>
      <c r="N20" s="25"/>
      <c r="O20" s="25"/>
      <c r="P20" s="25"/>
      <c r="Q20" s="25"/>
      <c r="R20" s="25"/>
      <c r="S20" s="25"/>
      <c r="T20" s="25"/>
      <c r="U20" s="25"/>
      <c r="V20" s="26"/>
      <c r="W20" s="26"/>
      <c r="X20" s="26"/>
    </row>
    <row r="21" spans="1:24" ht="15.05" customHeight="1">
      <c r="A21" s="37">
        <f t="shared" ref="A21:A24" si="1">A20+7</f>
        <v>41756</v>
      </c>
      <c r="B21" s="25" t="s">
        <v>343</v>
      </c>
      <c r="C21" s="25" t="s">
        <v>63</v>
      </c>
      <c r="D21" s="25" t="s">
        <v>40</v>
      </c>
      <c r="E21" s="22" t="s">
        <v>167</v>
      </c>
      <c r="F21" s="25" t="s">
        <v>1041</v>
      </c>
      <c r="G21" s="25" t="s">
        <v>1040</v>
      </c>
      <c r="H21" s="25"/>
      <c r="I21" s="25"/>
      <c r="J21" s="25"/>
      <c r="K21" s="25"/>
      <c r="L21" s="25"/>
      <c r="M21" s="25"/>
      <c r="N21" s="25"/>
      <c r="O21" s="25"/>
      <c r="P21" s="25"/>
      <c r="Q21" s="25"/>
      <c r="R21" s="25"/>
      <c r="S21" s="25"/>
      <c r="T21" s="25"/>
      <c r="U21" s="25"/>
      <c r="V21" s="26"/>
      <c r="W21" s="26"/>
      <c r="X21" s="26"/>
    </row>
    <row r="22" spans="1:24" ht="15.05" customHeight="1">
      <c r="A22" s="37">
        <f t="shared" si="1"/>
        <v>41763</v>
      </c>
      <c r="B22" s="25" t="s">
        <v>359</v>
      </c>
      <c r="C22" s="25" t="s">
        <v>1041</v>
      </c>
      <c r="D22" s="25" t="s">
        <v>40</v>
      </c>
      <c r="E22" s="23"/>
      <c r="F22" s="25" t="s">
        <v>40</v>
      </c>
      <c r="G22" s="25" t="s">
        <v>1040</v>
      </c>
      <c r="H22" s="25"/>
      <c r="I22" s="25"/>
      <c r="J22" s="25"/>
      <c r="K22" s="25"/>
      <c r="L22" s="25"/>
      <c r="M22" s="25"/>
      <c r="N22" s="25"/>
      <c r="O22" s="25"/>
      <c r="P22" s="25"/>
      <c r="Q22" s="25"/>
      <c r="R22" s="25"/>
      <c r="S22" s="25"/>
      <c r="T22" s="25"/>
      <c r="U22" s="25"/>
      <c r="V22" s="26"/>
      <c r="W22" s="26"/>
      <c r="X22" s="26"/>
    </row>
    <row r="23" spans="1:24" ht="15.05" customHeight="1">
      <c r="A23" s="37">
        <f t="shared" si="1"/>
        <v>41770</v>
      </c>
      <c r="B23" s="25" t="s">
        <v>369</v>
      </c>
      <c r="C23" s="25" t="s">
        <v>40</v>
      </c>
      <c r="D23" s="25" t="s">
        <v>1041</v>
      </c>
      <c r="E23" s="22" t="s">
        <v>167</v>
      </c>
      <c r="F23" s="25" t="s">
        <v>1041</v>
      </c>
      <c r="G23" s="25" t="s">
        <v>1040</v>
      </c>
      <c r="H23" s="25"/>
      <c r="I23" s="25"/>
      <c r="J23" s="25"/>
      <c r="K23" s="25"/>
      <c r="L23" s="25"/>
      <c r="M23" s="25"/>
      <c r="N23" s="25"/>
      <c r="O23" s="25"/>
      <c r="P23" s="25"/>
      <c r="Q23" s="25"/>
      <c r="R23" s="25"/>
      <c r="S23" s="25"/>
      <c r="T23" s="25"/>
      <c r="U23" s="25"/>
      <c r="V23" s="26"/>
      <c r="W23" s="26"/>
      <c r="X23" s="26"/>
    </row>
    <row r="24" spans="1:24" ht="15.05" customHeight="1">
      <c r="A24" s="37">
        <f t="shared" si="1"/>
        <v>41777</v>
      </c>
      <c r="B24" s="25" t="s">
        <v>1080</v>
      </c>
      <c r="C24" s="25" t="s">
        <v>1040</v>
      </c>
      <c r="D24" s="25" t="s">
        <v>1041</v>
      </c>
      <c r="E24" s="23"/>
      <c r="F24" s="25" t="s">
        <v>943</v>
      </c>
      <c r="G24" s="25" t="s">
        <v>943</v>
      </c>
      <c r="H24" s="25"/>
      <c r="I24" s="25"/>
      <c r="J24" s="25"/>
      <c r="K24" s="25"/>
      <c r="L24" s="25"/>
      <c r="M24" s="25"/>
      <c r="N24" s="25"/>
      <c r="O24" s="25"/>
      <c r="P24" s="25"/>
      <c r="Q24" s="25"/>
      <c r="R24" s="25"/>
      <c r="S24" s="25"/>
      <c r="T24" s="25"/>
      <c r="U24" s="25"/>
      <c r="V24" s="26"/>
      <c r="W24" s="26"/>
      <c r="X24" s="26"/>
    </row>
    <row r="25" spans="1:24" ht="15.05" customHeight="1">
      <c r="A25" s="7" t="s">
        <v>452</v>
      </c>
      <c r="B25" s="4" t="s">
        <v>453</v>
      </c>
      <c r="C25" s="4" t="s">
        <v>5</v>
      </c>
      <c r="D25" s="4" t="s">
        <v>6</v>
      </c>
      <c r="E25" s="277"/>
      <c r="F25" s="4" t="s">
        <v>13</v>
      </c>
      <c r="G25" s="4" t="s">
        <v>12</v>
      </c>
      <c r="H25" s="4"/>
      <c r="I25" s="7"/>
      <c r="J25" s="7" t="s">
        <v>16</v>
      </c>
      <c r="K25" s="7" t="s">
        <v>17</v>
      </c>
      <c r="L25" s="7" t="s">
        <v>18</v>
      </c>
      <c r="M25" s="7" t="s">
        <v>19</v>
      </c>
      <c r="N25" s="7" t="s">
        <v>20</v>
      </c>
      <c r="O25" s="7" t="s">
        <v>21</v>
      </c>
      <c r="P25" s="7" t="s">
        <v>22</v>
      </c>
      <c r="Q25" s="7" t="s">
        <v>23</v>
      </c>
      <c r="R25" s="7" t="s">
        <v>24</v>
      </c>
      <c r="S25" s="7" t="s">
        <v>25</v>
      </c>
      <c r="T25" s="7" t="s">
        <v>26</v>
      </c>
      <c r="U25" s="7" t="s">
        <v>30</v>
      </c>
      <c r="V25" s="11" t="s">
        <v>456</v>
      </c>
      <c r="W25" s="11" t="s">
        <v>32</v>
      </c>
      <c r="X25" s="11" t="s">
        <v>1038</v>
      </c>
    </row>
    <row r="26" spans="1:24" ht="15.05" customHeight="1">
      <c r="A26" s="17">
        <v>41784</v>
      </c>
      <c r="B26" s="25" t="s">
        <v>394</v>
      </c>
      <c r="C26" s="25" t="s">
        <v>40</v>
      </c>
      <c r="D26" s="25" t="s">
        <v>1040</v>
      </c>
      <c r="E26" s="22" t="s">
        <v>167</v>
      </c>
      <c r="F26" s="25" t="s">
        <v>943</v>
      </c>
      <c r="G26" s="25" t="s">
        <v>943</v>
      </c>
      <c r="H26" s="25"/>
      <c r="I26" s="25"/>
      <c r="J26" s="25"/>
      <c r="K26" s="25"/>
      <c r="L26" s="25"/>
      <c r="M26" s="25"/>
      <c r="N26" s="25"/>
      <c r="O26" s="25"/>
      <c r="P26" s="25"/>
      <c r="Q26" s="25"/>
      <c r="R26" s="25"/>
      <c r="S26" s="25"/>
      <c r="T26" s="25"/>
      <c r="U26" s="25"/>
      <c r="V26" s="26"/>
      <c r="W26" s="26"/>
      <c r="X26" s="26"/>
    </row>
    <row r="27" spans="1:24" ht="15.05" customHeight="1">
      <c r="A27" s="37">
        <f t="shared" ref="A27:A40" si="2">A26+7</f>
        <v>41791</v>
      </c>
      <c r="B27" s="25" t="s">
        <v>403</v>
      </c>
      <c r="C27" s="25" t="s">
        <v>1041</v>
      </c>
      <c r="D27" s="25" t="s">
        <v>1081</v>
      </c>
      <c r="E27" s="23"/>
      <c r="F27" s="25"/>
      <c r="G27" s="25"/>
      <c r="H27" s="25"/>
      <c r="I27" s="25"/>
      <c r="J27" s="25"/>
      <c r="K27" s="25"/>
      <c r="L27" s="25"/>
      <c r="M27" s="25"/>
      <c r="N27" s="25"/>
      <c r="O27" s="25"/>
      <c r="P27" s="25"/>
      <c r="Q27" s="25"/>
      <c r="R27" s="25"/>
      <c r="S27" s="25"/>
      <c r="T27" s="25"/>
      <c r="U27" s="25"/>
      <c r="V27" s="26"/>
      <c r="W27" s="26"/>
      <c r="X27" s="26"/>
    </row>
    <row r="28" spans="1:24" ht="15.05" customHeight="1">
      <c r="A28" s="173">
        <f t="shared" si="2"/>
        <v>41798</v>
      </c>
      <c r="B28" s="113" t="s">
        <v>418</v>
      </c>
      <c r="C28" s="113" t="s">
        <v>1040</v>
      </c>
      <c r="D28" s="113" t="s">
        <v>1081</v>
      </c>
      <c r="E28" s="115" t="s">
        <v>167</v>
      </c>
      <c r="F28" s="113"/>
      <c r="G28" s="113"/>
      <c r="H28" s="113"/>
      <c r="I28" s="113"/>
      <c r="J28" s="113"/>
      <c r="K28" s="113"/>
      <c r="L28" s="113"/>
      <c r="M28" s="113"/>
      <c r="N28" s="113"/>
      <c r="O28" s="113"/>
      <c r="P28" s="113"/>
      <c r="Q28" s="113"/>
      <c r="R28" s="113"/>
      <c r="S28" s="113"/>
      <c r="T28" s="113"/>
      <c r="U28" s="113"/>
      <c r="V28" s="117"/>
      <c r="W28" s="117"/>
      <c r="X28" s="117"/>
    </row>
    <row r="29" spans="1:24" ht="15.05" customHeight="1">
      <c r="A29" s="41">
        <f t="shared" si="2"/>
        <v>41805</v>
      </c>
      <c r="B29" s="51" t="s">
        <v>439</v>
      </c>
      <c r="C29" s="51" t="s">
        <v>63</v>
      </c>
      <c r="D29" s="51" t="s">
        <v>1081</v>
      </c>
      <c r="E29" s="45"/>
      <c r="F29" s="51"/>
      <c r="G29" s="43" t="s">
        <v>40</v>
      </c>
      <c r="H29" s="51"/>
      <c r="I29" s="51"/>
      <c r="J29" s="51"/>
      <c r="K29" s="51"/>
      <c r="L29" s="51"/>
      <c r="M29" s="51"/>
      <c r="N29" s="51"/>
      <c r="O29" s="51"/>
      <c r="P29" s="51"/>
      <c r="Q29" s="51"/>
      <c r="R29" s="51"/>
      <c r="S29" s="51"/>
      <c r="T29" s="51"/>
      <c r="U29" s="51"/>
      <c r="V29" s="53"/>
      <c r="W29" s="53"/>
      <c r="X29" s="53"/>
    </row>
    <row r="30" spans="1:24" ht="15.05" customHeight="1">
      <c r="A30" s="41">
        <f t="shared" si="2"/>
        <v>41812</v>
      </c>
      <c r="B30" s="51" t="s">
        <v>658</v>
      </c>
      <c r="C30" s="43" t="s">
        <v>63</v>
      </c>
      <c r="D30" s="51" t="s">
        <v>1081</v>
      </c>
      <c r="E30" s="44" t="s">
        <v>167</v>
      </c>
      <c r="F30" s="51"/>
      <c r="G30" s="43" t="s">
        <v>63</v>
      </c>
      <c r="H30" s="43"/>
      <c r="I30" s="51"/>
      <c r="J30" s="51"/>
      <c r="K30" s="51"/>
      <c r="L30" s="51"/>
      <c r="M30" s="51"/>
      <c r="N30" s="51"/>
      <c r="O30" s="51"/>
      <c r="P30" s="51"/>
      <c r="Q30" s="51"/>
      <c r="R30" s="51"/>
      <c r="S30" s="51"/>
      <c r="T30" s="51"/>
      <c r="U30" s="51"/>
      <c r="V30" s="53"/>
      <c r="W30" s="53"/>
      <c r="X30" s="53"/>
    </row>
    <row r="31" spans="1:24" ht="15.05" customHeight="1">
      <c r="A31" s="41">
        <f t="shared" si="2"/>
        <v>41819</v>
      </c>
      <c r="B31" s="51" t="s">
        <v>668</v>
      </c>
      <c r="C31" s="43" t="s">
        <v>40</v>
      </c>
      <c r="D31" s="51" t="s">
        <v>1081</v>
      </c>
      <c r="E31" s="44" t="s">
        <v>167</v>
      </c>
      <c r="F31" s="51"/>
      <c r="G31" s="43" t="s">
        <v>40</v>
      </c>
      <c r="H31" s="51"/>
      <c r="I31" s="51"/>
      <c r="J31" s="51"/>
      <c r="K31" s="51"/>
      <c r="L31" s="51"/>
      <c r="M31" s="51"/>
      <c r="N31" s="51"/>
      <c r="O31" s="51"/>
      <c r="P31" s="51"/>
      <c r="Q31" s="51"/>
      <c r="R31" s="51"/>
      <c r="S31" s="51"/>
      <c r="T31" s="51"/>
      <c r="U31" s="51"/>
      <c r="V31" s="53"/>
      <c r="W31" s="53"/>
      <c r="X31" s="53"/>
    </row>
    <row r="32" spans="1:24" ht="15.05" customHeight="1">
      <c r="A32" s="41">
        <f t="shared" si="2"/>
        <v>41826</v>
      </c>
      <c r="B32" s="51" t="s">
        <v>683</v>
      </c>
      <c r="C32" s="43" t="s">
        <v>40</v>
      </c>
      <c r="D32" s="51" t="s">
        <v>1081</v>
      </c>
      <c r="E32" s="45"/>
      <c r="F32" s="51"/>
      <c r="G32" s="43" t="s">
        <v>40</v>
      </c>
      <c r="H32" s="51"/>
      <c r="I32" s="51"/>
      <c r="J32" s="51"/>
      <c r="K32" s="51"/>
      <c r="L32" s="51"/>
      <c r="M32" s="51"/>
      <c r="N32" s="51"/>
      <c r="O32" s="51"/>
      <c r="P32" s="51"/>
      <c r="Q32" s="51"/>
      <c r="R32" s="51"/>
      <c r="S32" s="51"/>
      <c r="T32" s="51"/>
      <c r="U32" s="51"/>
      <c r="V32" s="53"/>
      <c r="W32" s="53"/>
      <c r="X32" s="53"/>
    </row>
    <row r="33" spans="1:24" ht="15.05" customHeight="1">
      <c r="A33" s="41">
        <f t="shared" si="2"/>
        <v>41833</v>
      </c>
      <c r="B33" s="51" t="s">
        <v>689</v>
      </c>
      <c r="C33" s="43" t="s">
        <v>46</v>
      </c>
      <c r="D33" s="51" t="s">
        <v>1081</v>
      </c>
      <c r="E33" s="44" t="s">
        <v>167</v>
      </c>
      <c r="F33" s="51"/>
      <c r="G33" s="43" t="s">
        <v>40</v>
      </c>
      <c r="H33" s="51"/>
      <c r="I33" s="51"/>
      <c r="J33" s="51"/>
      <c r="K33" s="51"/>
      <c r="L33" s="51"/>
      <c r="M33" s="51"/>
      <c r="N33" s="51"/>
      <c r="O33" s="51"/>
      <c r="P33" s="51"/>
      <c r="Q33" s="51"/>
      <c r="R33" s="51"/>
      <c r="S33" s="51"/>
      <c r="T33" s="51"/>
      <c r="U33" s="51"/>
      <c r="V33" s="53"/>
      <c r="W33" s="53"/>
      <c r="X33" s="53"/>
    </row>
    <row r="34" spans="1:24" ht="15.05" customHeight="1">
      <c r="A34" s="41">
        <f t="shared" si="2"/>
        <v>41840</v>
      </c>
      <c r="B34" s="51" t="s">
        <v>699</v>
      </c>
      <c r="C34" s="43" t="s">
        <v>46</v>
      </c>
      <c r="D34" s="51" t="s">
        <v>1081</v>
      </c>
      <c r="E34" s="45"/>
      <c r="F34" s="51"/>
      <c r="G34" s="43" t="s">
        <v>40</v>
      </c>
      <c r="H34" s="51"/>
      <c r="I34" s="51"/>
      <c r="J34" s="51"/>
      <c r="K34" s="51"/>
      <c r="L34" s="51"/>
      <c r="M34" s="51"/>
      <c r="N34" s="51"/>
      <c r="O34" s="51"/>
      <c r="P34" s="51"/>
      <c r="Q34" s="51"/>
      <c r="R34" s="51"/>
      <c r="S34" s="51"/>
      <c r="T34" s="51"/>
      <c r="U34" s="51"/>
      <c r="V34" s="53"/>
      <c r="W34" s="53"/>
      <c r="X34" s="53"/>
    </row>
    <row r="35" spans="1:24" ht="15.05" customHeight="1">
      <c r="A35" s="41">
        <f t="shared" si="2"/>
        <v>41847</v>
      </c>
      <c r="B35" s="51" t="s">
        <v>714</v>
      </c>
      <c r="C35" s="51" t="s">
        <v>63</v>
      </c>
      <c r="D35" s="43" t="s">
        <v>46</v>
      </c>
      <c r="E35" s="44" t="s">
        <v>167</v>
      </c>
      <c r="F35" s="43" t="s">
        <v>46</v>
      </c>
      <c r="G35" s="43" t="s">
        <v>40</v>
      </c>
      <c r="H35" s="51"/>
      <c r="I35" s="51"/>
      <c r="J35" s="51"/>
      <c r="K35" s="51"/>
      <c r="L35" s="51"/>
      <c r="M35" s="51"/>
      <c r="N35" s="51"/>
      <c r="O35" s="51"/>
      <c r="P35" s="51"/>
      <c r="Q35" s="51"/>
      <c r="R35" s="51"/>
      <c r="S35" s="51"/>
      <c r="T35" s="51"/>
      <c r="U35" s="51"/>
      <c r="V35" s="53"/>
      <c r="W35" s="53"/>
      <c r="X35" s="53"/>
    </row>
    <row r="36" spans="1:24" ht="15.05" customHeight="1">
      <c r="A36" s="41">
        <f t="shared" si="2"/>
        <v>41854</v>
      </c>
      <c r="B36" s="51" t="s">
        <v>724</v>
      </c>
      <c r="C36" s="43" t="s">
        <v>46</v>
      </c>
      <c r="D36" s="43" t="s">
        <v>46</v>
      </c>
      <c r="E36" s="44"/>
      <c r="F36" s="43" t="s">
        <v>46</v>
      </c>
      <c r="G36" s="43" t="s">
        <v>63</v>
      </c>
      <c r="H36" s="43"/>
      <c r="I36" s="51"/>
      <c r="J36" s="51"/>
      <c r="K36" s="51"/>
      <c r="L36" s="51"/>
      <c r="M36" s="51"/>
      <c r="N36" s="51"/>
      <c r="O36" s="51"/>
      <c r="P36" s="51"/>
      <c r="Q36" s="51"/>
      <c r="R36" s="51"/>
      <c r="S36" s="51"/>
      <c r="T36" s="51"/>
      <c r="U36" s="51"/>
      <c r="V36" s="53"/>
      <c r="W36" s="53"/>
      <c r="X36" s="53"/>
    </row>
    <row r="37" spans="1:24" ht="15.05" customHeight="1">
      <c r="A37" s="41">
        <f t="shared" si="2"/>
        <v>41861</v>
      </c>
      <c r="B37" s="43" t="s">
        <v>1096</v>
      </c>
      <c r="C37" s="43" t="s">
        <v>40</v>
      </c>
      <c r="D37" s="43" t="s">
        <v>46</v>
      </c>
      <c r="E37" s="44" t="s">
        <v>167</v>
      </c>
      <c r="F37" s="43" t="s">
        <v>46</v>
      </c>
      <c r="G37" s="43" t="s">
        <v>40</v>
      </c>
      <c r="H37" s="51"/>
      <c r="I37" s="43"/>
      <c r="J37" s="43"/>
      <c r="K37" s="43" t="s">
        <v>266</v>
      </c>
      <c r="L37" s="43"/>
      <c r="M37" s="51"/>
      <c r="N37" s="43" t="s">
        <v>550</v>
      </c>
      <c r="O37" s="51"/>
      <c r="P37" s="43" t="s">
        <v>1097</v>
      </c>
      <c r="Q37" s="43" t="s">
        <v>1098</v>
      </c>
      <c r="R37" s="43" t="s">
        <v>1099</v>
      </c>
      <c r="S37" s="51"/>
      <c r="T37" s="51"/>
      <c r="U37" s="51"/>
      <c r="V37" s="53"/>
      <c r="W37" s="53"/>
      <c r="X37" s="53"/>
    </row>
    <row r="38" spans="1:24" ht="15.05" customHeight="1">
      <c r="A38" s="41">
        <f t="shared" si="2"/>
        <v>41868</v>
      </c>
      <c r="B38" s="43" t="s">
        <v>1100</v>
      </c>
      <c r="C38" s="43" t="s">
        <v>46</v>
      </c>
      <c r="D38" s="43" t="s">
        <v>40</v>
      </c>
      <c r="E38" s="44"/>
      <c r="F38" s="43" t="s">
        <v>46</v>
      </c>
      <c r="G38" s="43" t="s">
        <v>40</v>
      </c>
      <c r="H38" s="278"/>
      <c r="I38" s="51"/>
      <c r="J38" s="51"/>
      <c r="K38" s="43" t="s">
        <v>266</v>
      </c>
      <c r="L38" s="51"/>
      <c r="M38" s="51"/>
      <c r="N38" s="43" t="s">
        <v>176</v>
      </c>
      <c r="O38" s="51"/>
      <c r="P38" s="51"/>
      <c r="Q38" s="51"/>
      <c r="R38" s="51"/>
      <c r="S38" s="51"/>
      <c r="T38" s="51"/>
      <c r="U38" s="51"/>
      <c r="V38" s="47"/>
      <c r="W38" s="53"/>
      <c r="X38" s="53"/>
    </row>
    <row r="39" spans="1:24" ht="15.05" customHeight="1">
      <c r="A39" s="41">
        <f t="shared" si="2"/>
        <v>41875</v>
      </c>
      <c r="B39" s="43" t="s">
        <v>1101</v>
      </c>
      <c r="C39" s="43" t="s">
        <v>63</v>
      </c>
      <c r="D39" s="43" t="s">
        <v>40</v>
      </c>
      <c r="E39" s="44" t="s">
        <v>167</v>
      </c>
      <c r="F39" s="27" t="s">
        <v>1102</v>
      </c>
      <c r="G39" s="43" t="s">
        <v>1102</v>
      </c>
      <c r="H39" s="51"/>
      <c r="I39" s="59"/>
      <c r="J39" s="279" t="str">
        <f>HYPERLINK("https://drive.google.com/file/d/0B5XRrPQx1u_SNFpydURnSUxwSVU/edit?usp=sharing","Psalm 84")</f>
        <v>Psalm 84</v>
      </c>
      <c r="K39" s="43" t="s">
        <v>1109</v>
      </c>
      <c r="L39" s="51"/>
      <c r="M39" s="51"/>
      <c r="N39" s="43" t="s">
        <v>591</v>
      </c>
      <c r="O39" s="51"/>
      <c r="P39" s="51"/>
      <c r="Q39" s="51"/>
      <c r="R39" s="51"/>
      <c r="S39" s="51"/>
      <c r="T39" s="51"/>
      <c r="U39" s="51"/>
      <c r="V39" s="53"/>
      <c r="W39" s="53"/>
      <c r="X39" s="53"/>
    </row>
    <row r="40" spans="1:24" ht="15.05" customHeight="1">
      <c r="A40" s="41">
        <f t="shared" si="2"/>
        <v>41882</v>
      </c>
      <c r="B40" s="43" t="s">
        <v>1110</v>
      </c>
      <c r="C40" s="43" t="s">
        <v>46</v>
      </c>
      <c r="D40" s="43" t="s">
        <v>40</v>
      </c>
      <c r="E40" s="44" t="s">
        <v>167</v>
      </c>
      <c r="F40" s="27" t="s">
        <v>1111</v>
      </c>
      <c r="G40" s="43" t="s">
        <v>1111</v>
      </c>
      <c r="H40" s="43"/>
      <c r="I40" s="51"/>
      <c r="J40" s="51"/>
      <c r="K40" s="43" t="s">
        <v>266</v>
      </c>
      <c r="L40" s="51"/>
      <c r="M40" s="51"/>
      <c r="N40" s="43" t="s">
        <v>605</v>
      </c>
      <c r="O40" s="43"/>
      <c r="P40" s="43" t="s">
        <v>1112</v>
      </c>
      <c r="Q40" s="51"/>
      <c r="R40" s="43" t="s">
        <v>1113</v>
      </c>
      <c r="S40" s="43" t="s">
        <v>1114</v>
      </c>
      <c r="T40" s="43" t="s">
        <v>1112</v>
      </c>
      <c r="U40" s="43" t="s">
        <v>1115</v>
      </c>
      <c r="V40" s="53"/>
      <c r="W40" s="53"/>
      <c r="X40" s="53"/>
    </row>
    <row r="41" spans="1:24" ht="15.05" customHeight="1">
      <c r="A41" s="185" t="s">
        <v>684</v>
      </c>
      <c r="B41" s="187" t="s">
        <v>453</v>
      </c>
      <c r="C41" s="187" t="s">
        <v>5</v>
      </c>
      <c r="D41" s="187" t="s">
        <v>6</v>
      </c>
      <c r="E41" s="280"/>
      <c r="F41" s="187" t="s">
        <v>13</v>
      </c>
      <c r="G41" s="187" t="s">
        <v>12</v>
      </c>
      <c r="H41" s="187"/>
      <c r="I41" s="7"/>
      <c r="J41" s="7" t="s">
        <v>16</v>
      </c>
      <c r="K41" s="7" t="s">
        <v>17</v>
      </c>
      <c r="L41" s="7" t="s">
        <v>18</v>
      </c>
      <c r="M41" s="7" t="s">
        <v>19</v>
      </c>
      <c r="N41" s="7" t="s">
        <v>20</v>
      </c>
      <c r="O41" s="7" t="s">
        <v>21</v>
      </c>
      <c r="P41" s="7" t="s">
        <v>22</v>
      </c>
      <c r="Q41" s="7" t="s">
        <v>23</v>
      </c>
      <c r="R41" s="7" t="s">
        <v>24</v>
      </c>
      <c r="S41" s="7" t="s">
        <v>25</v>
      </c>
      <c r="T41" s="7" t="s">
        <v>26</v>
      </c>
      <c r="U41" s="7" t="s">
        <v>30</v>
      </c>
      <c r="V41" s="11" t="s">
        <v>456</v>
      </c>
      <c r="W41" s="11" t="s">
        <v>32</v>
      </c>
      <c r="X41" s="11" t="s">
        <v>1038</v>
      </c>
    </row>
    <row r="42" spans="1:24" ht="15.05" customHeight="1">
      <c r="A42" s="41">
        <f>A40+7</f>
        <v>41889</v>
      </c>
      <c r="B42" s="43" t="s">
        <v>1121</v>
      </c>
      <c r="C42" s="43" t="s">
        <v>63</v>
      </c>
      <c r="D42" s="43" t="s">
        <v>46</v>
      </c>
      <c r="E42" s="45"/>
      <c r="F42" s="43" t="s">
        <v>1122</v>
      </c>
      <c r="G42" s="43" t="s">
        <v>1123</v>
      </c>
      <c r="H42" s="43"/>
      <c r="I42" s="51"/>
      <c r="J42" s="51"/>
      <c r="K42" s="43" t="s">
        <v>975</v>
      </c>
      <c r="L42" s="51"/>
      <c r="M42" s="51"/>
      <c r="N42" s="43" t="s">
        <v>617</v>
      </c>
      <c r="O42" s="51"/>
      <c r="P42" s="43" t="s">
        <v>1124</v>
      </c>
      <c r="Q42" s="51"/>
      <c r="R42" s="43" t="s">
        <v>1124</v>
      </c>
      <c r="S42" s="43" t="s">
        <v>1125</v>
      </c>
      <c r="T42" s="43" t="s">
        <v>1126</v>
      </c>
      <c r="U42" s="43" t="s">
        <v>1128</v>
      </c>
      <c r="V42" s="47"/>
      <c r="W42" s="39"/>
      <c r="X42" s="47"/>
    </row>
    <row r="43" spans="1:24" ht="15.05" customHeight="1">
      <c r="A43" s="41">
        <f t="shared" ref="A43:A53" si="3">A42+7</f>
        <v>41896</v>
      </c>
      <c r="B43" s="43" t="s">
        <v>1130</v>
      </c>
      <c r="C43" s="43" t="s">
        <v>40</v>
      </c>
      <c r="D43" s="43" t="s">
        <v>46</v>
      </c>
      <c r="E43" s="44" t="s">
        <v>167</v>
      </c>
      <c r="F43" s="43" t="s">
        <v>1122</v>
      </c>
      <c r="G43" s="43" t="s">
        <v>1123</v>
      </c>
      <c r="H43" s="51"/>
      <c r="I43" s="51"/>
      <c r="J43" s="51"/>
      <c r="K43" s="43" t="s">
        <v>266</v>
      </c>
      <c r="L43" s="51"/>
      <c r="M43" s="51"/>
      <c r="N43" s="43" t="s">
        <v>633</v>
      </c>
      <c r="O43" s="51"/>
      <c r="P43" s="43" t="s">
        <v>1131</v>
      </c>
      <c r="Q43" s="43" t="s">
        <v>1132</v>
      </c>
      <c r="R43" s="43" t="s">
        <v>1133</v>
      </c>
      <c r="S43" s="43" t="s">
        <v>1134</v>
      </c>
      <c r="T43" s="43" t="s">
        <v>1131</v>
      </c>
      <c r="U43" s="43" t="s">
        <v>1135</v>
      </c>
      <c r="V43" s="53"/>
      <c r="W43" s="34"/>
      <c r="X43" s="53"/>
    </row>
    <row r="44" spans="1:24" ht="15.05" customHeight="1">
      <c r="A44" s="41">
        <f t="shared" si="3"/>
        <v>41903</v>
      </c>
      <c r="B44" s="43" t="s">
        <v>1137</v>
      </c>
      <c r="C44" s="43" t="s">
        <v>40</v>
      </c>
      <c r="D44" s="43" t="s">
        <v>46</v>
      </c>
      <c r="E44" s="45"/>
      <c r="F44" s="43" t="s">
        <v>1122</v>
      </c>
      <c r="G44" s="43" t="s">
        <v>1123</v>
      </c>
      <c r="H44" s="43"/>
      <c r="I44" s="51"/>
      <c r="J44" s="51"/>
      <c r="K44" s="43" t="s">
        <v>1109</v>
      </c>
      <c r="L44" s="51"/>
      <c r="M44" s="51"/>
      <c r="N44" s="43" t="s">
        <v>654</v>
      </c>
      <c r="O44" s="51"/>
      <c r="P44" s="43" t="s">
        <v>1139</v>
      </c>
      <c r="Q44" s="43" t="s">
        <v>1140</v>
      </c>
      <c r="R44" s="43" t="s">
        <v>1141</v>
      </c>
      <c r="S44" s="43" t="s">
        <v>1139</v>
      </c>
      <c r="T44" s="43" t="s">
        <v>1142</v>
      </c>
      <c r="U44" s="43" t="s">
        <v>1143</v>
      </c>
      <c r="V44" s="53"/>
      <c r="W44" s="34"/>
      <c r="X44" s="53"/>
    </row>
    <row r="45" spans="1:24" ht="15.05" customHeight="1">
      <c r="A45" s="41">
        <f t="shared" si="3"/>
        <v>41910</v>
      </c>
      <c r="B45" s="43" t="s">
        <v>1144</v>
      </c>
      <c r="C45" s="43" t="s">
        <v>63</v>
      </c>
      <c r="D45" s="43" t="s">
        <v>46</v>
      </c>
      <c r="E45" s="44" t="s">
        <v>167</v>
      </c>
      <c r="F45" s="43" t="s">
        <v>1145</v>
      </c>
      <c r="G45" s="43" t="s">
        <v>1123</v>
      </c>
      <c r="H45" s="43"/>
      <c r="I45" s="51"/>
      <c r="J45" s="51"/>
      <c r="K45" s="43" t="s">
        <v>1109</v>
      </c>
      <c r="L45" s="51"/>
      <c r="M45" s="51"/>
      <c r="N45" s="43" t="s">
        <v>669</v>
      </c>
      <c r="O45" s="51"/>
      <c r="P45" s="43" t="s">
        <v>799</v>
      </c>
      <c r="Q45" s="43" t="s">
        <v>1146</v>
      </c>
      <c r="R45" s="43" t="s">
        <v>799</v>
      </c>
      <c r="S45" s="43" t="s">
        <v>1147</v>
      </c>
      <c r="T45" s="43" t="s">
        <v>1148</v>
      </c>
      <c r="U45" s="43" t="s">
        <v>1149</v>
      </c>
      <c r="V45" s="53"/>
      <c r="W45" s="34"/>
      <c r="X45" s="53"/>
    </row>
    <row r="46" spans="1:24" ht="15.05" customHeight="1">
      <c r="A46" s="41">
        <f t="shared" si="3"/>
        <v>41917</v>
      </c>
      <c r="B46" s="43" t="s">
        <v>1150</v>
      </c>
      <c r="C46" s="43" t="s">
        <v>1151</v>
      </c>
      <c r="D46" s="43" t="s">
        <v>46</v>
      </c>
      <c r="E46" s="45"/>
      <c r="F46" s="43" t="s">
        <v>1145</v>
      </c>
      <c r="G46" s="43" t="s">
        <v>1123</v>
      </c>
      <c r="H46" s="43"/>
      <c r="I46" s="51"/>
      <c r="J46" s="51"/>
      <c r="K46" s="43" t="s">
        <v>1152</v>
      </c>
      <c r="L46" s="51"/>
      <c r="M46" s="51"/>
      <c r="N46" s="43" t="s">
        <v>696</v>
      </c>
      <c r="O46" s="51"/>
      <c r="P46" s="51"/>
      <c r="Q46" s="43" t="s">
        <v>1153</v>
      </c>
      <c r="R46" s="51"/>
      <c r="S46" s="51"/>
      <c r="T46" s="51"/>
      <c r="U46" s="51"/>
      <c r="V46" s="53"/>
      <c r="W46" s="34"/>
      <c r="X46" s="53"/>
    </row>
    <row r="47" spans="1:24" ht="15.05" customHeight="1">
      <c r="A47" s="41">
        <f t="shared" si="3"/>
        <v>41924</v>
      </c>
      <c r="B47" s="43" t="s">
        <v>1154</v>
      </c>
      <c r="C47" s="43" t="s">
        <v>43</v>
      </c>
      <c r="D47" s="43" t="s">
        <v>40</v>
      </c>
      <c r="E47" s="44" t="s">
        <v>167</v>
      </c>
      <c r="F47" s="43" t="s">
        <v>1145</v>
      </c>
      <c r="G47" s="43" t="s">
        <v>1155</v>
      </c>
      <c r="H47" s="51"/>
      <c r="I47" s="51"/>
      <c r="J47" s="51"/>
      <c r="K47" s="43" t="s">
        <v>1109</v>
      </c>
      <c r="L47" s="51"/>
      <c r="M47" s="51"/>
      <c r="N47" s="43" t="s">
        <v>707</v>
      </c>
      <c r="O47" s="51"/>
      <c r="P47" s="43" t="s">
        <v>1157</v>
      </c>
      <c r="Q47" s="43" t="s">
        <v>1159</v>
      </c>
      <c r="R47" s="43" t="s">
        <v>1161</v>
      </c>
      <c r="S47" s="43" t="s">
        <v>1163</v>
      </c>
      <c r="T47" s="43" t="s">
        <v>1157</v>
      </c>
      <c r="U47" s="43" t="s">
        <v>1166</v>
      </c>
      <c r="V47" s="53"/>
      <c r="W47" s="34"/>
      <c r="X47" s="53"/>
    </row>
    <row r="48" spans="1:24" ht="15.05" customHeight="1">
      <c r="A48" s="41">
        <f t="shared" si="3"/>
        <v>41931</v>
      </c>
      <c r="B48" s="43" t="s">
        <v>1167</v>
      </c>
      <c r="C48" s="51" t="s">
        <v>63</v>
      </c>
      <c r="D48" s="43" t="s">
        <v>40</v>
      </c>
      <c r="E48" s="44"/>
      <c r="F48" s="43" t="s">
        <v>1145</v>
      </c>
      <c r="G48" s="43" t="s">
        <v>1155</v>
      </c>
      <c r="H48" s="51"/>
      <c r="I48" s="51"/>
      <c r="J48" s="51"/>
      <c r="K48" s="43" t="s">
        <v>1109</v>
      </c>
      <c r="L48" s="51"/>
      <c r="M48" s="51"/>
      <c r="N48" s="43" t="s">
        <v>711</v>
      </c>
      <c r="O48" s="51"/>
      <c r="P48" s="51"/>
      <c r="Q48" s="43" t="s">
        <v>1168</v>
      </c>
      <c r="R48" s="51"/>
      <c r="S48" s="51"/>
      <c r="T48" s="51"/>
      <c r="U48" s="51"/>
      <c r="V48" s="53"/>
      <c r="W48" s="34"/>
      <c r="X48" s="53"/>
    </row>
    <row r="49" spans="1:24" ht="15.05" customHeight="1">
      <c r="A49" s="41">
        <f t="shared" si="3"/>
        <v>41938</v>
      </c>
      <c r="B49" s="51" t="s">
        <v>1169</v>
      </c>
      <c r="C49" s="43" t="s">
        <v>46</v>
      </c>
      <c r="D49" s="43" t="s">
        <v>40</v>
      </c>
      <c r="E49" s="44" t="s">
        <v>167</v>
      </c>
      <c r="F49" s="43" t="s">
        <v>1145</v>
      </c>
      <c r="G49" s="43" t="s">
        <v>1155</v>
      </c>
      <c r="H49" s="51"/>
      <c r="I49" s="51"/>
      <c r="J49" s="51"/>
      <c r="K49" s="43" t="s">
        <v>1109</v>
      </c>
      <c r="L49" s="51"/>
      <c r="M49" s="51"/>
      <c r="N49" s="43" t="s">
        <v>716</v>
      </c>
      <c r="O49" s="51"/>
      <c r="P49" s="51"/>
      <c r="Q49" s="43" t="s">
        <v>1170</v>
      </c>
      <c r="R49" s="51"/>
      <c r="S49" s="51"/>
      <c r="T49" s="51"/>
      <c r="U49" s="51"/>
      <c r="V49" s="53"/>
      <c r="W49" s="34"/>
      <c r="X49" s="53"/>
    </row>
    <row r="50" spans="1:24" ht="15.05" customHeight="1">
      <c r="A50" s="173">
        <f t="shared" si="3"/>
        <v>41945</v>
      </c>
      <c r="B50" s="113" t="s">
        <v>790</v>
      </c>
      <c r="C50" s="114" t="s">
        <v>43</v>
      </c>
      <c r="D50" s="114" t="s">
        <v>46</v>
      </c>
      <c r="E50" s="203"/>
      <c r="F50" s="27" t="s">
        <v>830</v>
      </c>
      <c r="G50" s="27" t="s">
        <v>830</v>
      </c>
      <c r="H50" s="113"/>
      <c r="I50" s="113"/>
      <c r="J50" s="113"/>
      <c r="K50" s="114" t="s">
        <v>1171</v>
      </c>
      <c r="L50" s="113"/>
      <c r="M50" s="113"/>
      <c r="N50" s="114" t="s">
        <v>792</v>
      </c>
      <c r="O50" s="113"/>
      <c r="P50" s="114" t="s">
        <v>1172</v>
      </c>
      <c r="Q50" s="114" t="s">
        <v>1173</v>
      </c>
      <c r="R50" s="114" t="s">
        <v>1174</v>
      </c>
      <c r="S50" s="114" t="s">
        <v>1175</v>
      </c>
      <c r="T50" s="114" t="s">
        <v>1172</v>
      </c>
      <c r="U50" s="114" t="s">
        <v>1176</v>
      </c>
      <c r="V50" s="117"/>
      <c r="W50" s="34"/>
      <c r="X50" s="117"/>
    </row>
    <row r="51" spans="1:24" ht="15.05" customHeight="1">
      <c r="A51" s="173">
        <f t="shared" si="3"/>
        <v>41952</v>
      </c>
      <c r="B51" s="113" t="s">
        <v>758</v>
      </c>
      <c r="C51" s="114" t="s">
        <v>46</v>
      </c>
      <c r="D51" s="114" t="s">
        <v>40</v>
      </c>
      <c r="E51" s="115" t="s">
        <v>167</v>
      </c>
      <c r="F51" s="114" t="s">
        <v>1177</v>
      </c>
      <c r="G51" s="114" t="s">
        <v>1178</v>
      </c>
      <c r="H51" s="114"/>
      <c r="I51" s="113"/>
      <c r="J51" s="113"/>
      <c r="K51" s="114" t="s">
        <v>1171</v>
      </c>
      <c r="L51" s="113"/>
      <c r="M51" s="113"/>
      <c r="N51" s="114" t="s">
        <v>751</v>
      </c>
      <c r="O51" s="113"/>
      <c r="P51" s="114" t="s">
        <v>1185</v>
      </c>
      <c r="Q51" s="113"/>
      <c r="R51" s="114" t="s">
        <v>1186</v>
      </c>
      <c r="S51" s="114" t="s">
        <v>1187</v>
      </c>
      <c r="T51" s="114" t="s">
        <v>1185</v>
      </c>
      <c r="U51" s="114" t="s">
        <v>1188</v>
      </c>
      <c r="V51" s="117"/>
      <c r="W51" s="34"/>
      <c r="X51" s="117"/>
    </row>
    <row r="52" spans="1:24" ht="15.05" customHeight="1">
      <c r="A52" s="37">
        <f t="shared" si="3"/>
        <v>41959</v>
      </c>
      <c r="B52" s="25" t="s">
        <v>769</v>
      </c>
      <c r="C52" s="20" t="s">
        <v>40</v>
      </c>
      <c r="D52" s="20" t="s">
        <v>46</v>
      </c>
      <c r="E52" s="23"/>
      <c r="F52" s="122" t="s">
        <v>1177</v>
      </c>
      <c r="G52" s="20" t="s">
        <v>1178</v>
      </c>
      <c r="H52" s="25"/>
      <c r="I52" s="25"/>
      <c r="J52" s="25"/>
      <c r="K52" s="20" t="s">
        <v>1171</v>
      </c>
      <c r="L52" s="25"/>
      <c r="M52" s="25"/>
      <c r="N52" s="20" t="s">
        <v>761</v>
      </c>
      <c r="O52" s="25"/>
      <c r="P52" s="20" t="s">
        <v>1189</v>
      </c>
      <c r="Q52" s="20" t="s">
        <v>1190</v>
      </c>
      <c r="R52" s="20" t="s">
        <v>1191</v>
      </c>
      <c r="S52" s="20" t="s">
        <v>1189</v>
      </c>
      <c r="T52" s="20" t="s">
        <v>1192</v>
      </c>
      <c r="U52" s="20" t="s">
        <v>1193</v>
      </c>
      <c r="V52" s="33"/>
      <c r="W52" s="34"/>
      <c r="X52" s="26"/>
    </row>
    <row r="53" spans="1:24" ht="15.05" customHeight="1">
      <c r="A53" s="37">
        <f t="shared" si="3"/>
        <v>41966</v>
      </c>
      <c r="B53" s="25" t="s">
        <v>795</v>
      </c>
      <c r="C53" s="20" t="s">
        <v>46</v>
      </c>
      <c r="D53" s="20" t="s">
        <v>43</v>
      </c>
      <c r="E53" s="22" t="s">
        <v>167</v>
      </c>
      <c r="F53" s="122" t="s">
        <v>1177</v>
      </c>
      <c r="G53" s="20" t="s">
        <v>1178</v>
      </c>
      <c r="H53" s="25"/>
      <c r="I53" s="25"/>
      <c r="J53" s="25"/>
      <c r="K53" s="20" t="s">
        <v>1171</v>
      </c>
      <c r="L53" s="25"/>
      <c r="M53" s="25"/>
      <c r="N53" s="20" t="s">
        <v>771</v>
      </c>
      <c r="O53" s="25"/>
      <c r="P53" s="20" t="s">
        <v>1197</v>
      </c>
      <c r="Q53" s="20" t="s">
        <v>1198</v>
      </c>
      <c r="R53" s="20" t="s">
        <v>1200</v>
      </c>
      <c r="S53" s="20" t="s">
        <v>1202</v>
      </c>
      <c r="T53" s="20" t="s">
        <v>1204</v>
      </c>
      <c r="U53" s="20" t="s">
        <v>1205</v>
      </c>
      <c r="V53" s="26"/>
      <c r="W53" s="34"/>
      <c r="X53" s="26"/>
    </row>
    <row r="54" spans="1:24" ht="15.05" customHeight="1">
      <c r="A54" s="17">
        <v>41969</v>
      </c>
      <c r="B54" s="20" t="s">
        <v>780</v>
      </c>
      <c r="C54" s="20" t="s">
        <v>43</v>
      </c>
      <c r="D54" s="20" t="s">
        <v>43</v>
      </c>
      <c r="E54" s="22"/>
      <c r="F54" s="283"/>
      <c r="G54" s="283"/>
      <c r="H54" s="25"/>
      <c r="I54" s="25"/>
      <c r="J54" s="25"/>
      <c r="K54" s="20" t="s">
        <v>337</v>
      </c>
      <c r="L54" s="25"/>
      <c r="M54" s="25"/>
      <c r="N54" s="25"/>
      <c r="O54" s="25"/>
      <c r="P54" s="20" t="s">
        <v>1206</v>
      </c>
      <c r="Q54" s="20" t="s">
        <v>1207</v>
      </c>
      <c r="R54" s="20" t="s">
        <v>878</v>
      </c>
      <c r="S54" s="20" t="s">
        <v>880</v>
      </c>
      <c r="T54" s="20" t="s">
        <v>881</v>
      </c>
      <c r="U54" s="20" t="s">
        <v>1208</v>
      </c>
      <c r="V54" s="33"/>
      <c r="W54" s="34"/>
      <c r="X54" s="26"/>
    </row>
    <row r="55" spans="1:24" ht="15.05" customHeight="1">
      <c r="A55" s="17">
        <v>41970</v>
      </c>
      <c r="B55" s="20" t="s">
        <v>780</v>
      </c>
      <c r="C55" s="20" t="s">
        <v>43</v>
      </c>
      <c r="D55" s="20" t="s">
        <v>43</v>
      </c>
      <c r="E55" s="22"/>
      <c r="F55" s="283"/>
      <c r="G55" s="283"/>
      <c r="H55" s="25"/>
      <c r="I55" s="25"/>
      <c r="J55" s="25"/>
      <c r="K55" s="20" t="s">
        <v>337</v>
      </c>
      <c r="L55" s="25"/>
      <c r="M55" s="25"/>
      <c r="N55" s="25"/>
      <c r="O55" s="25"/>
      <c r="P55" s="25"/>
      <c r="Q55" s="25"/>
      <c r="R55" s="25"/>
      <c r="S55" s="25"/>
      <c r="T55" s="25"/>
      <c r="U55" s="25"/>
      <c r="V55" s="26"/>
      <c r="W55" s="34"/>
      <c r="X55" s="26"/>
    </row>
    <row r="56" spans="1:24" ht="15.05" customHeight="1">
      <c r="A56" s="216">
        <f>A53+7</f>
        <v>41973</v>
      </c>
      <c r="B56" s="223" t="s">
        <v>903</v>
      </c>
      <c r="C56" s="218" t="s">
        <v>63</v>
      </c>
      <c r="D56" s="218" t="s">
        <v>40</v>
      </c>
      <c r="E56" s="219" t="s">
        <v>167</v>
      </c>
      <c r="F56" s="218" t="s">
        <v>1214</v>
      </c>
      <c r="G56" s="218" t="s">
        <v>1178</v>
      </c>
      <c r="H56" s="223"/>
      <c r="I56" s="223"/>
      <c r="J56" s="226" t="str">
        <f>HYPERLINK("https://docs.google.com/a/elstempe.org/file/d/0B4o9FS6Fg-3ebHBMNUgyeGMyaDg/edit","Psalm 24")</f>
        <v>Psalm 24</v>
      </c>
      <c r="K56" s="218" t="s">
        <v>1215</v>
      </c>
      <c r="L56" s="223"/>
      <c r="M56" s="223"/>
      <c r="N56" s="218" t="s">
        <v>797</v>
      </c>
      <c r="O56" s="223"/>
      <c r="P56" s="218" t="s">
        <v>1216</v>
      </c>
      <c r="Q56" s="218"/>
      <c r="R56" s="218" t="s">
        <v>1219</v>
      </c>
      <c r="S56" s="218" t="s">
        <v>1220</v>
      </c>
      <c r="T56" s="218" t="s">
        <v>1216</v>
      </c>
      <c r="U56" s="218" t="s">
        <v>1223</v>
      </c>
      <c r="V56" s="228" t="s">
        <v>1224</v>
      </c>
      <c r="W56" s="34"/>
      <c r="X56" s="221"/>
    </row>
    <row r="57" spans="1:24" ht="15.05" customHeight="1">
      <c r="A57" s="229">
        <v>41976</v>
      </c>
      <c r="B57" s="218" t="s">
        <v>834</v>
      </c>
      <c r="C57" s="218" t="s">
        <v>40</v>
      </c>
      <c r="D57" s="218"/>
      <c r="E57" s="220"/>
      <c r="F57" s="218"/>
      <c r="G57" s="218"/>
      <c r="H57" s="223"/>
      <c r="I57" s="223"/>
      <c r="J57" s="223"/>
      <c r="K57" s="218" t="s">
        <v>958</v>
      </c>
      <c r="L57" s="223"/>
      <c r="M57" s="223"/>
      <c r="N57" s="223"/>
      <c r="O57" s="223"/>
      <c r="P57" s="218" t="s">
        <v>1227</v>
      </c>
      <c r="Q57" s="218" t="s">
        <v>1228</v>
      </c>
      <c r="R57" s="218" t="s">
        <v>1229</v>
      </c>
      <c r="S57" s="218" t="s">
        <v>1230</v>
      </c>
      <c r="T57" s="218" t="s">
        <v>1231</v>
      </c>
      <c r="U57" s="218" t="s">
        <v>1232</v>
      </c>
      <c r="V57" s="228" t="s">
        <v>1233</v>
      </c>
      <c r="W57" s="34"/>
      <c r="X57" s="221"/>
    </row>
    <row r="58" spans="1:24" ht="15.05" customHeight="1">
      <c r="A58" s="216">
        <f>A56+7</f>
        <v>41980</v>
      </c>
      <c r="B58" s="223" t="s">
        <v>921</v>
      </c>
      <c r="C58" s="218" t="s">
        <v>40</v>
      </c>
      <c r="D58" s="218" t="s">
        <v>46</v>
      </c>
      <c r="E58" s="220"/>
      <c r="F58" s="218" t="s">
        <v>1234</v>
      </c>
      <c r="G58" s="218" t="s">
        <v>1178</v>
      </c>
      <c r="H58" s="223"/>
      <c r="I58" s="223"/>
      <c r="J58" s="223"/>
      <c r="K58" s="218" t="s">
        <v>1215</v>
      </c>
      <c r="L58" s="223"/>
      <c r="M58" s="223"/>
      <c r="N58" s="218" t="s">
        <v>825</v>
      </c>
      <c r="O58" s="223"/>
      <c r="P58" s="218" t="s">
        <v>1240</v>
      </c>
      <c r="Q58" s="218" t="s">
        <v>1241</v>
      </c>
      <c r="R58" s="218" t="s">
        <v>926</v>
      </c>
      <c r="S58" s="218" t="s">
        <v>1243</v>
      </c>
      <c r="T58" s="218" t="s">
        <v>1244</v>
      </c>
      <c r="U58" s="218" t="s">
        <v>1245</v>
      </c>
      <c r="V58" s="228" t="s">
        <v>1246</v>
      </c>
      <c r="W58" s="34"/>
      <c r="X58" s="221"/>
    </row>
    <row r="59" spans="1:24" ht="15.05" customHeight="1">
      <c r="A59" s="229">
        <v>41983</v>
      </c>
      <c r="B59" s="218" t="s">
        <v>848</v>
      </c>
      <c r="C59" s="218" t="s">
        <v>43</v>
      </c>
      <c r="D59" s="218"/>
      <c r="E59" s="219"/>
      <c r="F59" s="218"/>
      <c r="G59" s="218"/>
      <c r="H59" s="223"/>
      <c r="I59" s="223"/>
      <c r="J59" s="285" t="str">
        <f>HYPERLINK("https://drive.google.com/#folders/0B5XRrPQx1u_SRnVMbTZraWlOakU","Worship Folder Resources")</f>
        <v>Worship Folder Resources</v>
      </c>
      <c r="K59" s="218" t="s">
        <v>958</v>
      </c>
      <c r="L59" s="223"/>
      <c r="M59" s="223"/>
      <c r="N59" s="223"/>
      <c r="O59" s="223"/>
      <c r="P59" s="218" t="s">
        <v>1254</v>
      </c>
      <c r="Q59" s="218" t="s">
        <v>1255</v>
      </c>
      <c r="R59" s="218" t="s">
        <v>1256</v>
      </c>
      <c r="S59" s="223"/>
      <c r="T59" s="218" t="s">
        <v>1257</v>
      </c>
      <c r="U59" s="218" t="s">
        <v>1258</v>
      </c>
      <c r="V59" s="228" t="s">
        <v>1259</v>
      </c>
      <c r="W59" s="34"/>
      <c r="X59" s="221"/>
    </row>
    <row r="60" spans="1:24" ht="15.05" customHeight="1">
      <c r="A60" s="216">
        <f>A58+7</f>
        <v>41987</v>
      </c>
      <c r="B60" s="223" t="s">
        <v>942</v>
      </c>
      <c r="C60" s="218" t="s">
        <v>46</v>
      </c>
      <c r="D60" s="218" t="s">
        <v>43</v>
      </c>
      <c r="E60" s="219" t="s">
        <v>167</v>
      </c>
      <c r="F60" s="218" t="s">
        <v>1177</v>
      </c>
      <c r="G60" s="218" t="s">
        <v>1178</v>
      </c>
      <c r="H60" s="218"/>
      <c r="I60" s="223"/>
      <c r="J60" s="223"/>
      <c r="K60" s="218" t="s">
        <v>1215</v>
      </c>
      <c r="L60" s="223"/>
      <c r="M60" s="223"/>
      <c r="N60" s="218" t="s">
        <v>843</v>
      </c>
      <c r="O60" s="223"/>
      <c r="P60" s="218" t="s">
        <v>1265</v>
      </c>
      <c r="Q60" s="218" t="s">
        <v>1266</v>
      </c>
      <c r="R60" s="218" t="s">
        <v>1267</v>
      </c>
      <c r="S60" s="218" t="s">
        <v>1268</v>
      </c>
      <c r="T60" s="218" t="s">
        <v>1269</v>
      </c>
      <c r="U60" s="218" t="s">
        <v>1270</v>
      </c>
      <c r="V60" s="228" t="s">
        <v>1271</v>
      </c>
      <c r="W60" s="39"/>
    </row>
    <row r="61" spans="1:24" ht="15.05" customHeight="1">
      <c r="A61" s="229">
        <v>41990</v>
      </c>
      <c r="B61" s="218" t="s">
        <v>858</v>
      </c>
      <c r="C61" s="218" t="s">
        <v>46</v>
      </c>
      <c r="D61" s="218"/>
      <c r="E61" s="220"/>
      <c r="F61" s="218"/>
      <c r="G61" s="218"/>
      <c r="H61" s="223"/>
      <c r="I61" s="223"/>
      <c r="J61" s="226" t="str">
        <f>HYPERLINK("https://docs.google.com/a/elstempe.org/file/d/0B4o9FS6Fg-3eYTZoTHQtdVUyZkk/edit","Anthem and singers listed")</f>
        <v>Anthem and singers listed</v>
      </c>
      <c r="K61" s="218" t="s">
        <v>958</v>
      </c>
      <c r="L61" s="223"/>
      <c r="M61" s="223"/>
      <c r="N61" s="223"/>
      <c r="O61" s="223"/>
      <c r="P61" s="218" t="s">
        <v>1272</v>
      </c>
      <c r="Q61" s="228" t="s">
        <v>1273</v>
      </c>
      <c r="R61" s="218" t="s">
        <v>1274</v>
      </c>
      <c r="S61" s="218" t="s">
        <v>1275</v>
      </c>
      <c r="T61" s="218" t="s">
        <v>1276</v>
      </c>
      <c r="U61" s="218" t="s">
        <v>1277</v>
      </c>
      <c r="V61" s="228" t="s">
        <v>1278</v>
      </c>
      <c r="W61" s="34"/>
      <c r="X61" s="228" t="s">
        <v>1279</v>
      </c>
    </row>
    <row r="62" spans="1:24" ht="15.05" customHeight="1">
      <c r="A62" s="216">
        <f>A60+7</f>
        <v>41994</v>
      </c>
      <c r="B62" s="223" t="s">
        <v>951</v>
      </c>
      <c r="C62" s="255" t="s">
        <v>1280</v>
      </c>
      <c r="D62" s="218" t="s">
        <v>40</v>
      </c>
      <c r="E62" s="220"/>
      <c r="F62" s="218" t="s">
        <v>1281</v>
      </c>
      <c r="G62" s="218" t="s">
        <v>1178</v>
      </c>
      <c r="H62" s="223"/>
      <c r="I62" s="223"/>
      <c r="J62" s="223"/>
      <c r="K62" s="218" t="s">
        <v>954</v>
      </c>
      <c r="L62" s="223"/>
      <c r="M62" s="223"/>
      <c r="N62" s="218" t="s">
        <v>852</v>
      </c>
      <c r="O62" s="223"/>
      <c r="P62" s="255" t="s">
        <v>955</v>
      </c>
      <c r="Q62" s="223"/>
      <c r="R62" s="223"/>
      <c r="S62" s="223"/>
      <c r="T62" s="223"/>
      <c r="U62" s="223"/>
      <c r="V62" s="228" t="s">
        <v>1282</v>
      </c>
      <c r="W62" s="34"/>
      <c r="X62" s="221"/>
    </row>
    <row r="63" spans="1:24" ht="15.05" customHeight="1">
      <c r="A63" s="17">
        <v>41997</v>
      </c>
      <c r="B63" s="25" t="s">
        <v>1284</v>
      </c>
      <c r="C63" s="20" t="s">
        <v>46</v>
      </c>
      <c r="D63" s="20" t="s">
        <v>40</v>
      </c>
      <c r="E63" s="23"/>
      <c r="F63" s="266" t="s">
        <v>943</v>
      </c>
      <c r="G63" s="266" t="s">
        <v>943</v>
      </c>
      <c r="H63" s="25"/>
      <c r="I63" s="25"/>
      <c r="J63" s="25"/>
      <c r="K63" s="5" t="s">
        <v>1285</v>
      </c>
      <c r="L63" s="25"/>
      <c r="M63" s="25"/>
      <c r="N63" s="20" t="s">
        <v>873</v>
      </c>
      <c r="O63" s="25"/>
      <c r="P63" s="20" t="s">
        <v>1286</v>
      </c>
      <c r="Q63" s="20" t="s">
        <v>1287</v>
      </c>
      <c r="R63" s="20" t="s">
        <v>876</v>
      </c>
      <c r="S63" s="20" t="s">
        <v>877</v>
      </c>
      <c r="T63" s="20" t="s">
        <v>879</v>
      </c>
      <c r="U63" s="20" t="s">
        <v>1288</v>
      </c>
      <c r="V63" s="33"/>
      <c r="W63" s="34"/>
      <c r="X63" s="26"/>
    </row>
    <row r="64" spans="1:24" ht="15.05" customHeight="1">
      <c r="A64" s="17">
        <v>41997</v>
      </c>
      <c r="B64" s="20" t="s">
        <v>871</v>
      </c>
      <c r="C64" s="20" t="s">
        <v>43</v>
      </c>
      <c r="D64" s="20" t="s">
        <v>43</v>
      </c>
      <c r="E64" s="23"/>
      <c r="F64" s="27" t="s">
        <v>943</v>
      </c>
      <c r="G64" s="27" t="s">
        <v>943</v>
      </c>
      <c r="H64" s="25"/>
      <c r="I64" s="25"/>
      <c r="J64" s="25"/>
      <c r="K64" s="20" t="s">
        <v>958</v>
      </c>
      <c r="L64" s="25"/>
      <c r="M64" s="25"/>
      <c r="N64" s="20" t="s">
        <v>873</v>
      </c>
      <c r="O64" s="25"/>
      <c r="P64" s="20" t="s">
        <v>877</v>
      </c>
      <c r="Q64" s="20" t="s">
        <v>1289</v>
      </c>
      <c r="R64" s="20" t="s">
        <v>876</v>
      </c>
      <c r="S64" s="20" t="s">
        <v>877</v>
      </c>
      <c r="T64" s="20" t="s">
        <v>879</v>
      </c>
      <c r="U64" s="20" t="s">
        <v>1290</v>
      </c>
      <c r="V64" s="33" t="s">
        <v>1291</v>
      </c>
      <c r="W64" s="286"/>
    </row>
    <row r="65" spans="1:24" ht="15.05" customHeight="1">
      <c r="A65" s="17">
        <v>41998</v>
      </c>
      <c r="B65" s="25" t="s">
        <v>882</v>
      </c>
      <c r="C65" s="20" t="s">
        <v>40</v>
      </c>
      <c r="D65" s="20" t="s">
        <v>43</v>
      </c>
      <c r="E65" s="23"/>
      <c r="F65" s="266" t="s">
        <v>943</v>
      </c>
      <c r="G65" s="266" t="s">
        <v>943</v>
      </c>
      <c r="H65" s="25"/>
      <c r="I65" s="25"/>
      <c r="J65" s="25"/>
      <c r="K65" s="20" t="s">
        <v>337</v>
      </c>
      <c r="L65" s="25"/>
      <c r="M65" s="25"/>
      <c r="N65" s="20" t="s">
        <v>883</v>
      </c>
      <c r="O65" s="25"/>
      <c r="P65" s="20" t="s">
        <v>888</v>
      </c>
      <c r="Q65" s="20" t="s">
        <v>1296</v>
      </c>
      <c r="R65" s="20" t="s">
        <v>887</v>
      </c>
      <c r="S65" s="20" t="s">
        <v>888</v>
      </c>
      <c r="T65" s="20" t="s">
        <v>889</v>
      </c>
      <c r="U65" s="20" t="s">
        <v>1297</v>
      </c>
      <c r="V65" s="33" t="s">
        <v>1298</v>
      </c>
      <c r="W65" s="34"/>
      <c r="X65" s="26"/>
    </row>
    <row r="66" spans="1:24" ht="15.05" customHeight="1">
      <c r="A66" s="37">
        <f>A62+7</f>
        <v>42001</v>
      </c>
      <c r="B66" s="25" t="s">
        <v>41</v>
      </c>
      <c r="C66" s="25" t="s">
        <v>63</v>
      </c>
      <c r="D66" s="20" t="s">
        <v>40</v>
      </c>
      <c r="E66" s="22" t="s">
        <v>167</v>
      </c>
      <c r="F66" s="266" t="s">
        <v>943</v>
      </c>
      <c r="G66" s="266" t="s">
        <v>943</v>
      </c>
      <c r="H66" s="25"/>
      <c r="I66" s="20" t="s">
        <v>1299</v>
      </c>
      <c r="J66" s="25"/>
      <c r="K66" s="20" t="s">
        <v>1215</v>
      </c>
      <c r="L66" s="25"/>
      <c r="M66" s="25"/>
      <c r="N66" s="20" t="s">
        <v>895</v>
      </c>
      <c r="O66" s="20" t="s">
        <v>1300</v>
      </c>
      <c r="P66" s="20" t="s">
        <v>1301</v>
      </c>
      <c r="Q66" s="20" t="s">
        <v>1302</v>
      </c>
      <c r="R66" s="20" t="s">
        <v>1303</v>
      </c>
      <c r="S66" s="20" t="s">
        <v>1304</v>
      </c>
      <c r="T66" s="20" t="s">
        <v>1301</v>
      </c>
      <c r="U66" s="20" t="s">
        <v>1305</v>
      </c>
      <c r="V66" s="33" t="s">
        <v>1306</v>
      </c>
      <c r="W66" s="34"/>
      <c r="X66" s="26"/>
    </row>
    <row r="67" spans="1:24" ht="15.05" customHeight="1">
      <c r="A67" s="17">
        <v>42004</v>
      </c>
      <c r="B67" s="25" t="s">
        <v>897</v>
      </c>
      <c r="C67" s="25" t="s">
        <v>40</v>
      </c>
      <c r="D67" s="20" t="s">
        <v>43</v>
      </c>
      <c r="E67" s="22" t="s">
        <v>167</v>
      </c>
      <c r="F67" s="266" t="s">
        <v>943</v>
      </c>
      <c r="G67" s="266" t="s">
        <v>943</v>
      </c>
      <c r="H67" s="25"/>
      <c r="I67" s="20" t="s">
        <v>966</v>
      </c>
      <c r="J67" s="25"/>
      <c r="K67" s="20" t="s">
        <v>856</v>
      </c>
      <c r="L67" s="25"/>
      <c r="M67" s="25"/>
      <c r="N67" s="20" t="s">
        <v>898</v>
      </c>
      <c r="O67" s="25"/>
      <c r="P67" s="20" t="s">
        <v>1311</v>
      </c>
      <c r="Q67" s="20" t="s">
        <v>1312</v>
      </c>
      <c r="R67" s="20" t="s">
        <v>1314</v>
      </c>
      <c r="S67" s="25"/>
      <c r="T67" s="20" t="s">
        <v>1315</v>
      </c>
      <c r="U67" s="20" t="s">
        <v>1188</v>
      </c>
      <c r="V67" s="33" t="s">
        <v>1316</v>
      </c>
      <c r="W67" s="34"/>
      <c r="X67" s="26"/>
    </row>
    <row r="68" spans="1:24" ht="15.05" customHeight="1">
      <c r="A68" s="243"/>
      <c r="B68" s="243"/>
      <c r="C68" s="243" t="s">
        <v>900</v>
      </c>
      <c r="D68" s="243"/>
      <c r="E68" s="245"/>
      <c r="F68" s="243"/>
      <c r="G68" s="243"/>
      <c r="H68" s="243"/>
      <c r="I68" s="243"/>
      <c r="J68" s="243"/>
      <c r="K68" s="243"/>
      <c r="L68" s="243"/>
      <c r="M68" s="243"/>
      <c r="N68" s="243"/>
      <c r="O68" s="243"/>
      <c r="P68" s="243"/>
      <c r="Q68" s="243"/>
      <c r="R68" s="243"/>
      <c r="S68" s="243"/>
      <c r="T68" s="243"/>
      <c r="U68" s="243"/>
      <c r="V68" s="246"/>
      <c r="W68" s="246"/>
      <c r="X68" s="246"/>
    </row>
    <row r="69" spans="1:24" ht="15.05" customHeight="1">
      <c r="A69" s="243"/>
      <c r="B69" s="243"/>
      <c r="C69" s="244" t="s">
        <v>46</v>
      </c>
      <c r="D69" s="243">
        <f>COUNTIF(C2:C67, "Gran")</f>
        <v>11</v>
      </c>
      <c r="E69" s="245"/>
      <c r="F69" s="243"/>
      <c r="G69" s="243"/>
      <c r="H69" s="243"/>
      <c r="I69" s="243"/>
      <c r="J69" s="243"/>
      <c r="K69" s="243"/>
      <c r="L69" s="243"/>
      <c r="M69" s="243"/>
      <c r="N69" s="243"/>
      <c r="O69" s="243"/>
      <c r="P69" s="243"/>
      <c r="Q69" s="243"/>
      <c r="R69" s="243"/>
      <c r="S69" s="243"/>
      <c r="T69" s="243"/>
      <c r="U69" s="243"/>
      <c r="V69" s="246"/>
      <c r="W69" s="246"/>
      <c r="X69" s="246"/>
    </row>
    <row r="70" spans="1:24" ht="15.05" customHeight="1">
      <c r="A70" s="243"/>
      <c r="B70" s="243"/>
      <c r="C70" s="243" t="s">
        <v>40</v>
      </c>
      <c r="D70" s="243">
        <f>COUNTIF($C$2:$C$67, "Buchholz")</f>
        <v>17</v>
      </c>
      <c r="E70" s="245"/>
      <c r="F70" s="243"/>
      <c r="G70" s="243"/>
      <c r="H70" s="243"/>
      <c r="I70" s="243"/>
      <c r="J70" s="243"/>
      <c r="K70" s="243"/>
      <c r="L70" s="243"/>
      <c r="M70" s="243"/>
      <c r="N70" s="243"/>
      <c r="O70" s="243"/>
      <c r="P70" s="243"/>
      <c r="Q70" s="243"/>
      <c r="R70" s="243"/>
      <c r="S70" s="243"/>
      <c r="T70" s="243"/>
      <c r="U70" s="243"/>
      <c r="V70" s="246"/>
      <c r="W70" s="246"/>
      <c r="X70" s="246"/>
    </row>
    <row r="71" spans="1:24" ht="15.05" customHeight="1">
      <c r="A71" s="243"/>
      <c r="B71" s="243"/>
      <c r="C71" s="243" t="s">
        <v>63</v>
      </c>
      <c r="D71" s="243">
        <f>COUNTIF($C$2:$C$67, "Pautz")</f>
        <v>12</v>
      </c>
      <c r="E71" s="245"/>
      <c r="F71" s="243"/>
      <c r="G71" s="243"/>
      <c r="H71" s="243"/>
      <c r="I71" s="243"/>
      <c r="J71" s="243"/>
      <c r="K71" s="243"/>
      <c r="L71" s="243"/>
      <c r="M71" s="243"/>
      <c r="N71" s="243"/>
      <c r="O71" s="243"/>
      <c r="P71" s="243"/>
      <c r="Q71" s="243"/>
      <c r="R71" s="243"/>
      <c r="S71" s="243"/>
      <c r="T71" s="243"/>
      <c r="U71" s="243"/>
      <c r="V71" s="246"/>
      <c r="W71" s="246"/>
      <c r="X71" s="246"/>
    </row>
    <row r="72" spans="1:24" ht="15.05" customHeight="1">
      <c r="A72" s="243"/>
      <c r="B72" s="243"/>
      <c r="C72" s="243"/>
      <c r="D72" s="243"/>
      <c r="E72" s="245"/>
      <c r="F72" s="243"/>
      <c r="G72" s="243"/>
      <c r="H72" s="243"/>
      <c r="I72" s="243"/>
      <c r="J72" s="243"/>
      <c r="K72" s="243"/>
      <c r="L72" s="243"/>
      <c r="M72" s="243"/>
      <c r="N72" s="243"/>
      <c r="O72" s="243"/>
      <c r="P72" s="243"/>
      <c r="Q72" s="243"/>
      <c r="R72" s="243"/>
      <c r="S72" s="243"/>
      <c r="T72" s="243"/>
      <c r="U72" s="243"/>
      <c r="V72" s="246"/>
      <c r="W72" s="246"/>
      <c r="X72" s="246"/>
    </row>
    <row r="73" spans="1:24" ht="15.05" customHeight="1">
      <c r="A73" s="243"/>
      <c r="B73" s="243"/>
      <c r="C73" s="243"/>
      <c r="D73" s="243"/>
      <c r="E73" s="245"/>
      <c r="F73" s="243"/>
      <c r="G73" s="243"/>
      <c r="H73" s="243"/>
      <c r="I73" s="243"/>
      <c r="J73" s="243"/>
      <c r="K73" s="243"/>
      <c r="L73" s="243"/>
      <c r="M73" s="243"/>
      <c r="N73" s="243"/>
      <c r="O73" s="243"/>
      <c r="P73" s="243"/>
      <c r="Q73" s="243"/>
      <c r="R73" s="243"/>
      <c r="S73" s="243"/>
      <c r="T73" s="243"/>
      <c r="U73" s="243"/>
      <c r="V73" s="246"/>
      <c r="W73" s="246"/>
      <c r="X73" s="246"/>
    </row>
    <row r="74" spans="1:24" ht="15.05" customHeight="1">
      <c r="A74" s="243"/>
      <c r="B74" s="243"/>
      <c r="C74" s="243"/>
      <c r="D74" s="243"/>
      <c r="E74" s="245"/>
      <c r="F74" s="243"/>
      <c r="G74" s="243"/>
      <c r="H74" s="243"/>
      <c r="I74" s="243"/>
      <c r="J74" s="243"/>
      <c r="K74" s="243"/>
      <c r="L74" s="243"/>
      <c r="M74" s="243"/>
      <c r="N74" s="243"/>
      <c r="O74" s="243"/>
      <c r="P74" s="243"/>
      <c r="Q74" s="243"/>
      <c r="R74" s="243"/>
      <c r="S74" s="243"/>
      <c r="T74" s="243"/>
      <c r="U74" s="243"/>
      <c r="V74" s="246"/>
      <c r="W74" s="246"/>
      <c r="X74" s="246"/>
    </row>
    <row r="75" spans="1:24" ht="15.05" customHeight="1">
      <c r="A75" s="243"/>
      <c r="B75" s="243"/>
      <c r="C75" s="243"/>
      <c r="D75" s="243"/>
      <c r="E75" s="245"/>
      <c r="F75" s="243"/>
      <c r="G75" s="243"/>
      <c r="H75" s="243"/>
      <c r="I75" s="243"/>
      <c r="J75" s="243"/>
      <c r="K75" s="243"/>
      <c r="L75" s="243"/>
      <c r="M75" s="243"/>
      <c r="N75" s="243"/>
      <c r="O75" s="243"/>
      <c r="P75" s="243"/>
      <c r="Q75" s="243"/>
      <c r="R75" s="243"/>
      <c r="S75" s="243"/>
      <c r="T75" s="243"/>
      <c r="U75" s="243"/>
      <c r="V75" s="246"/>
      <c r="W75" s="246"/>
      <c r="X75" s="246"/>
    </row>
    <row r="76" spans="1:24" ht="15.05" customHeight="1">
      <c r="A76" s="243"/>
      <c r="B76" s="243"/>
      <c r="C76" s="243"/>
      <c r="D76" s="243"/>
      <c r="E76" s="245"/>
      <c r="F76" s="243"/>
      <c r="G76" s="243"/>
      <c r="H76" s="243"/>
      <c r="I76" s="243"/>
      <c r="J76" s="243"/>
      <c r="K76" s="243"/>
      <c r="L76" s="243"/>
      <c r="M76" s="243"/>
      <c r="N76" s="243"/>
      <c r="O76" s="243"/>
      <c r="P76" s="243"/>
      <c r="Q76" s="243"/>
      <c r="R76" s="243"/>
      <c r="S76" s="243"/>
      <c r="T76" s="243"/>
      <c r="U76" s="243"/>
      <c r="V76" s="246"/>
      <c r="W76" s="246"/>
      <c r="X76" s="246"/>
    </row>
    <row r="77" spans="1:24" ht="15.05" customHeight="1">
      <c r="A77" s="243"/>
      <c r="B77" s="243"/>
      <c r="C77" s="243"/>
      <c r="D77" s="243"/>
      <c r="E77" s="245"/>
      <c r="F77" s="243"/>
      <c r="G77" s="243"/>
      <c r="H77" s="243"/>
      <c r="I77" s="243"/>
      <c r="J77" s="243"/>
      <c r="K77" s="243"/>
      <c r="L77" s="243"/>
      <c r="M77" s="243"/>
      <c r="N77" s="243"/>
      <c r="O77" s="243"/>
      <c r="P77" s="243"/>
      <c r="Q77" s="243"/>
      <c r="R77" s="243"/>
      <c r="S77" s="243"/>
      <c r="T77" s="243"/>
      <c r="U77" s="243"/>
      <c r="V77" s="246"/>
      <c r="W77" s="246"/>
      <c r="X77" s="246"/>
    </row>
    <row r="78" spans="1:24" ht="15.05" customHeight="1">
      <c r="A78" s="243"/>
      <c r="B78" s="243"/>
      <c r="C78" s="243"/>
      <c r="D78" s="243"/>
      <c r="E78" s="245"/>
      <c r="F78" s="243"/>
      <c r="G78" s="243"/>
      <c r="H78" s="243"/>
      <c r="I78" s="243"/>
      <c r="J78" s="243"/>
      <c r="K78" s="243"/>
      <c r="L78" s="243"/>
      <c r="M78" s="243"/>
      <c r="N78" s="243"/>
      <c r="O78" s="243"/>
      <c r="P78" s="243"/>
      <c r="Q78" s="243"/>
      <c r="R78" s="243"/>
      <c r="S78" s="243"/>
      <c r="T78" s="243"/>
      <c r="U78" s="243"/>
      <c r="V78" s="246"/>
      <c r="W78" s="246"/>
      <c r="X78" s="246"/>
    </row>
    <row r="79" spans="1:24" ht="15.05" customHeight="1">
      <c r="A79" s="243"/>
      <c r="B79" s="243"/>
      <c r="C79" s="243"/>
      <c r="D79" s="243"/>
      <c r="E79" s="245"/>
      <c r="F79" s="243"/>
      <c r="G79" s="243"/>
      <c r="H79" s="243"/>
      <c r="I79" s="243"/>
      <c r="J79" s="243"/>
      <c r="K79" s="243"/>
      <c r="L79" s="243"/>
      <c r="M79" s="243"/>
      <c r="N79" s="243"/>
      <c r="O79" s="243"/>
      <c r="P79" s="243"/>
      <c r="Q79" s="243"/>
      <c r="R79" s="243"/>
      <c r="S79" s="243"/>
      <c r="T79" s="243"/>
      <c r="U79" s="243"/>
      <c r="V79" s="246"/>
      <c r="W79" s="246"/>
      <c r="X79" s="246"/>
    </row>
    <row r="80" spans="1:24" ht="15.05" customHeight="1">
      <c r="A80" s="243"/>
      <c r="B80" s="243"/>
      <c r="C80" s="243"/>
      <c r="D80" s="243"/>
      <c r="E80" s="245"/>
      <c r="F80" s="243"/>
      <c r="G80" s="243"/>
      <c r="H80" s="243"/>
      <c r="I80" s="243"/>
      <c r="J80" s="243"/>
      <c r="K80" s="243"/>
      <c r="L80" s="243"/>
      <c r="M80" s="243"/>
      <c r="N80" s="243"/>
      <c r="O80" s="243"/>
      <c r="P80" s="243"/>
      <c r="Q80" s="243"/>
      <c r="R80" s="243"/>
      <c r="S80" s="243"/>
      <c r="T80" s="243"/>
      <c r="U80" s="243"/>
      <c r="V80" s="246"/>
      <c r="W80" s="246"/>
      <c r="X80" s="246"/>
    </row>
    <row r="81" spans="1:24" ht="15.05" customHeight="1">
      <c r="A81" s="243"/>
      <c r="B81" s="243"/>
      <c r="C81" s="243"/>
      <c r="D81" s="243"/>
      <c r="E81" s="243"/>
      <c r="F81" s="243"/>
      <c r="G81" s="243"/>
      <c r="H81" s="243"/>
      <c r="I81" s="243"/>
      <c r="J81" s="243"/>
      <c r="K81" s="243"/>
      <c r="L81" s="243"/>
      <c r="M81" s="243"/>
      <c r="N81" s="243"/>
      <c r="O81" s="243"/>
      <c r="P81" s="243"/>
      <c r="Q81" s="243"/>
      <c r="R81" s="243"/>
      <c r="S81" s="243"/>
      <c r="T81" s="243"/>
      <c r="U81" s="243"/>
      <c r="V81" s="246"/>
      <c r="W81" s="246"/>
      <c r="X81" s="246"/>
    </row>
    <row r="82" spans="1:24" ht="15.05" customHeight="1">
      <c r="A82" s="243"/>
      <c r="B82" s="243"/>
      <c r="C82" s="243"/>
      <c r="D82" s="243"/>
      <c r="E82" s="243"/>
      <c r="F82" s="243"/>
      <c r="G82" s="243"/>
      <c r="H82" s="243"/>
      <c r="I82" s="243"/>
      <c r="J82" s="243"/>
      <c r="K82" s="243"/>
      <c r="L82" s="243"/>
      <c r="M82" s="243"/>
      <c r="N82" s="243"/>
      <c r="O82" s="243"/>
      <c r="P82" s="243"/>
      <c r="Q82" s="243"/>
      <c r="R82" s="243"/>
      <c r="S82" s="243"/>
      <c r="T82" s="243"/>
      <c r="U82" s="243"/>
      <c r="V82" s="246"/>
      <c r="W82" s="246"/>
      <c r="X82" s="246"/>
    </row>
    <row r="83" spans="1:24" ht="15.05" customHeight="1">
      <c r="A83" s="243"/>
      <c r="B83" s="243"/>
      <c r="C83" s="243"/>
      <c r="D83" s="243"/>
      <c r="E83" s="243"/>
      <c r="F83" s="243"/>
      <c r="G83" s="243"/>
      <c r="H83" s="243"/>
      <c r="I83" s="243"/>
      <c r="J83" s="243"/>
      <c r="K83" s="243"/>
      <c r="L83" s="243"/>
      <c r="M83" s="243"/>
      <c r="N83" s="243"/>
      <c r="O83" s="243"/>
      <c r="P83" s="243"/>
      <c r="Q83" s="243"/>
      <c r="R83" s="243"/>
      <c r="S83" s="243"/>
      <c r="T83" s="243"/>
      <c r="U83" s="243"/>
      <c r="V83" s="246"/>
      <c r="W83" s="246"/>
      <c r="X83" s="246"/>
    </row>
    <row r="84" spans="1:24" ht="15.05" customHeight="1">
      <c r="A84" s="243"/>
      <c r="B84" s="243"/>
      <c r="C84" s="243"/>
      <c r="D84" s="243"/>
      <c r="E84" s="243"/>
      <c r="F84" s="243"/>
      <c r="G84" s="243"/>
      <c r="H84" s="243"/>
      <c r="I84" s="243"/>
      <c r="J84" s="243"/>
      <c r="K84" s="243"/>
      <c r="L84" s="243"/>
      <c r="M84" s="243"/>
      <c r="N84" s="243"/>
      <c r="O84" s="243"/>
      <c r="P84" s="243"/>
      <c r="Q84" s="243"/>
      <c r="R84" s="243"/>
      <c r="S84" s="243"/>
      <c r="T84" s="243"/>
      <c r="U84" s="243"/>
      <c r="V84" s="246"/>
      <c r="W84" s="246"/>
      <c r="X84" s="246"/>
    </row>
    <row r="85" spans="1:24" ht="15.05" customHeight="1">
      <c r="A85" s="243"/>
      <c r="B85" s="243"/>
      <c r="C85" s="243"/>
      <c r="D85" s="243"/>
      <c r="E85" s="243"/>
      <c r="F85" s="243"/>
      <c r="G85" s="243"/>
      <c r="H85" s="243"/>
      <c r="I85" s="243"/>
      <c r="J85" s="243"/>
      <c r="K85" s="243"/>
      <c r="L85" s="243"/>
      <c r="M85" s="243"/>
      <c r="N85" s="243"/>
      <c r="O85" s="243"/>
      <c r="P85" s="243"/>
      <c r="Q85" s="243"/>
      <c r="R85" s="243"/>
      <c r="S85" s="243"/>
      <c r="T85" s="243"/>
      <c r="U85" s="243"/>
      <c r="V85" s="246"/>
      <c r="W85" s="246"/>
      <c r="X85" s="246"/>
    </row>
    <row r="86" spans="1:24" ht="15.05" customHeight="1">
      <c r="A86" s="243"/>
      <c r="B86" s="243"/>
      <c r="C86" s="243"/>
      <c r="D86" s="243"/>
      <c r="E86" s="243"/>
      <c r="F86" s="243"/>
      <c r="G86" s="243"/>
      <c r="H86" s="243"/>
      <c r="I86" s="243"/>
      <c r="J86" s="243"/>
      <c r="K86" s="243"/>
      <c r="L86" s="243"/>
      <c r="M86" s="243"/>
      <c r="N86" s="243"/>
      <c r="O86" s="243"/>
      <c r="P86" s="243"/>
      <c r="Q86" s="243"/>
      <c r="R86" s="243"/>
      <c r="S86" s="243"/>
      <c r="T86" s="243"/>
      <c r="U86" s="243"/>
      <c r="V86" s="246"/>
      <c r="W86" s="246"/>
      <c r="X86" s="246"/>
    </row>
    <row r="87" spans="1:24" ht="15.05" customHeight="1">
      <c r="A87" s="243"/>
      <c r="B87" s="243"/>
      <c r="C87" s="243"/>
      <c r="D87" s="243"/>
      <c r="E87" s="243"/>
      <c r="F87" s="243"/>
      <c r="G87" s="243"/>
      <c r="H87" s="243"/>
      <c r="I87" s="243"/>
      <c r="J87" s="243"/>
      <c r="K87" s="243"/>
      <c r="L87" s="243"/>
      <c r="M87" s="243"/>
      <c r="N87" s="243"/>
      <c r="O87" s="243"/>
      <c r="P87" s="243"/>
      <c r="Q87" s="243"/>
      <c r="R87" s="243"/>
      <c r="S87" s="243"/>
      <c r="T87" s="243"/>
      <c r="U87" s="243"/>
      <c r="V87" s="246"/>
      <c r="W87" s="246"/>
      <c r="X87" s="246"/>
    </row>
    <row r="88" spans="1:24" ht="15.05" customHeight="1">
      <c r="A88" s="243"/>
      <c r="B88" s="243"/>
      <c r="C88" s="243"/>
      <c r="D88" s="243"/>
      <c r="E88" s="243"/>
      <c r="F88" s="243"/>
      <c r="G88" s="243"/>
      <c r="H88" s="243"/>
      <c r="I88" s="243"/>
      <c r="J88" s="243"/>
      <c r="K88" s="243"/>
      <c r="L88" s="243"/>
      <c r="M88" s="243"/>
      <c r="N88" s="243"/>
      <c r="O88" s="243"/>
      <c r="P88" s="243"/>
      <c r="Q88" s="243"/>
      <c r="R88" s="243"/>
      <c r="S88" s="243"/>
      <c r="T88" s="243"/>
      <c r="U88" s="243"/>
      <c r="V88" s="246"/>
      <c r="W88" s="246"/>
      <c r="X88" s="246"/>
    </row>
    <row r="89" spans="1:24" ht="15.05" customHeight="1">
      <c r="A89" s="243"/>
      <c r="B89" s="243"/>
      <c r="C89" s="243"/>
      <c r="D89" s="243"/>
      <c r="E89" s="243"/>
      <c r="F89" s="243"/>
      <c r="G89" s="243"/>
      <c r="H89" s="243"/>
      <c r="I89" s="243"/>
      <c r="J89" s="243"/>
      <c r="K89" s="243"/>
      <c r="L89" s="243"/>
      <c r="M89" s="243"/>
      <c r="N89" s="243"/>
      <c r="O89" s="243"/>
      <c r="P89" s="243"/>
      <c r="Q89" s="243"/>
      <c r="R89" s="243"/>
      <c r="S89" s="243"/>
      <c r="T89" s="243"/>
      <c r="U89" s="243"/>
      <c r="V89" s="246"/>
      <c r="W89" s="246"/>
      <c r="X89" s="246"/>
    </row>
    <row r="90" spans="1:24" ht="15.05" customHeight="1">
      <c r="A90" s="243"/>
      <c r="B90" s="243"/>
      <c r="C90" s="243"/>
      <c r="D90" s="243"/>
      <c r="E90" s="243"/>
      <c r="F90" s="243"/>
      <c r="G90" s="243"/>
      <c r="H90" s="243"/>
      <c r="I90" s="243"/>
      <c r="J90" s="243"/>
      <c r="K90" s="243"/>
      <c r="L90" s="243"/>
      <c r="M90" s="243"/>
      <c r="N90" s="243"/>
      <c r="O90" s="243"/>
      <c r="P90" s="243"/>
      <c r="Q90" s="243"/>
      <c r="R90" s="243"/>
      <c r="S90" s="243"/>
      <c r="T90" s="243"/>
      <c r="U90" s="243"/>
      <c r="V90" s="246"/>
      <c r="W90" s="246"/>
      <c r="X90" s="246"/>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B1006"/>
  <sheetViews>
    <sheetView workbookViewId="0"/>
  </sheetViews>
  <sheetFormatPr defaultColWidth="17.33203125" defaultRowHeight="15.85" customHeight="1"/>
  <cols>
    <col min="1" max="1" width="26.109375" customWidth="1"/>
    <col min="2" max="2" width="66" customWidth="1"/>
  </cols>
  <sheetData>
    <row r="1" spans="1:2" ht="15.85" customHeight="1">
      <c r="A1" s="1"/>
      <c r="B1" s="287">
        <v>42764</v>
      </c>
    </row>
    <row r="2" spans="1:2" ht="15.85" customHeight="1">
      <c r="A2" s="1" t="s">
        <v>1</v>
      </c>
      <c r="B2" s="5" t="s">
        <v>1358</v>
      </c>
    </row>
    <row r="3" spans="1:2" ht="15.85" customHeight="1">
      <c r="A3" s="1"/>
    </row>
    <row r="4" spans="1:2" ht="15.85" customHeight="1">
      <c r="A4" s="1" t="s">
        <v>4</v>
      </c>
      <c r="B4" t="str">
        <f>VLOOKUP($B$1,'2016-C'!$B$2:$Y$75,2)</f>
        <v>New Year's Eve</v>
      </c>
    </row>
    <row r="5" spans="1:2" ht="15.85" customHeight="1">
      <c r="A5" s="1" t="s">
        <v>9</v>
      </c>
      <c r="B5" t="str">
        <f>VLOOKUP($B$1,'2016-C'!$B$2:$Y$75,3)</f>
        <v>Gran</v>
      </c>
    </row>
    <row r="6" spans="1:2" ht="15.85" customHeight="1">
      <c r="A6" s="1" t="s">
        <v>27</v>
      </c>
      <c r="B6" t="str">
        <f>VLOOKUP($B$1,'2016-C'!$B$2:$Y$75,4)</f>
        <v>Buchholz</v>
      </c>
    </row>
    <row r="7" spans="1:2" ht="15.85" customHeight="1">
      <c r="A7" s="1" t="s">
        <v>28</v>
      </c>
      <c r="B7" t="str">
        <f>VLOOKUP($B$1,'2016-C'!$B$2:$Y$75,5)</f>
        <v>Kevin</v>
      </c>
    </row>
    <row r="8" spans="1:2" ht="15.85" customHeight="1">
      <c r="A8" s="1" t="s">
        <v>29</v>
      </c>
      <c r="B8" t="str">
        <f>VLOOKUP($B$1,'2016-C'!$B$2:$Y$75,12)</f>
        <v>Special service</v>
      </c>
    </row>
    <row r="9" spans="1:2" ht="15.85" customHeight="1">
      <c r="A9" s="12"/>
    </row>
    <row r="10" spans="1:2" ht="15.85" customHeight="1">
      <c r="A10" s="14" t="s">
        <v>33</v>
      </c>
      <c r="B10" t="e">
        <f ca="1">getNote(CONCATENATE("'",B2,"'!N",MATCH(B1,'2016-C'!B1:B76)))</f>
        <v>#NAME?</v>
      </c>
    </row>
    <row r="11" spans="1:2" ht="15.85" customHeight="1">
      <c r="A11" s="14"/>
      <c r="B11" s="15"/>
    </row>
    <row r="12" spans="1:2" ht="15.85" customHeight="1">
      <c r="A12" s="14" t="s">
        <v>37</v>
      </c>
      <c r="B12" s="15" t="e">
        <f ca="1">getNote(CONCATENATE("'",B2,"'!O",MATCH(B1,'2016-C'!B1:B76)))</f>
        <v>#NAME?</v>
      </c>
    </row>
    <row r="13" spans="1:2" ht="15.85" customHeight="1">
      <c r="A13" s="18"/>
      <c r="B13" s="5"/>
    </row>
    <row r="14" spans="1:2" ht="15.85" customHeight="1">
      <c r="A14" s="1" t="s">
        <v>39</v>
      </c>
      <c r="B14" s="24" t="str">
        <f>VLOOKUP($B$1,'2016-C'!$B$1:$Y$75,16)</f>
        <v>1 John 2:15-17</v>
      </c>
    </row>
    <row r="15" spans="1:2" ht="15.85" customHeight="1">
      <c r="A15" s="1" t="s">
        <v>45</v>
      </c>
      <c r="B15" t="str">
        <f>VLOOKUP($B$1,'2016-C'!$B$1:$Y$75,17)</f>
        <v>Out with the old, in with the new</v>
      </c>
    </row>
    <row r="16" spans="1:2" ht="15.85" customHeight="1">
      <c r="A16" s="12"/>
    </row>
    <row r="17" spans="1:2" ht="15.85" customHeight="1">
      <c r="A17" s="1" t="s">
        <v>48</v>
      </c>
      <c r="B17" s="24" t="str">
        <f>VLOOKUP($B$1,'2016-C'!$B$1:$Y$75,18)</f>
        <v>Numbers 6:22-27</v>
      </c>
    </row>
    <row r="18" spans="1:2" ht="15.85" customHeight="1">
      <c r="A18" s="1" t="s">
        <v>49</v>
      </c>
      <c r="B18" s="24" t="str">
        <f>VLOOKUP($B$1,'2016-C'!$B$1:$Y$75,19)</f>
        <v>Galatians 5:13-26</v>
      </c>
    </row>
    <row r="19" spans="1:2" ht="15.85" customHeight="1">
      <c r="A19" s="1" t="s">
        <v>50</v>
      </c>
      <c r="B19" s="24" t="str">
        <f>VLOOKUP($B$1,'2016-C'!$B$1:$Y$75,20)</f>
        <v>Luke 12:13-26, 32-34</v>
      </c>
    </row>
    <row r="20" spans="1:2" ht="15.85" customHeight="1">
      <c r="A20" s="1" t="s">
        <v>51</v>
      </c>
      <c r="B20" s="290">
        <f>VLOOKUP($B$1,'2016-C'!$B$1:$Y$75,21)</f>
        <v>90</v>
      </c>
    </row>
    <row r="21" spans="1:2" ht="15.85" customHeight="1">
      <c r="A21" s="12"/>
    </row>
    <row r="22" spans="1:2" ht="15.85" customHeight="1">
      <c r="A22" s="1" t="s">
        <v>54</v>
      </c>
      <c r="B22">
        <f>VLOOKUP($B$1,'2016-C'!$B$1:$Y$75,22)</f>
        <v>0</v>
      </c>
    </row>
    <row r="23" spans="1:2" ht="15.85" customHeight="1">
      <c r="A23" s="12"/>
    </row>
    <row r="24" spans="1:2" ht="15.85" customHeight="1">
      <c r="A24" s="12"/>
    </row>
    <row r="25" spans="1:2" ht="15.85" customHeight="1">
      <c r="A25" s="12"/>
    </row>
    <row r="26" spans="1:2" ht="15.85" customHeight="1">
      <c r="A26" s="12"/>
    </row>
    <row r="27" spans="1:2" ht="15.85" customHeight="1">
      <c r="A27" s="12"/>
    </row>
    <row r="28" spans="1:2" ht="15.85" customHeight="1">
      <c r="A28" s="12"/>
    </row>
    <row r="29" spans="1:2" ht="15.85" customHeight="1">
      <c r="A29" s="12"/>
    </row>
    <row r="30" spans="1:2" ht="15.05">
      <c r="A30" s="12"/>
    </row>
    <row r="31" spans="1:2" ht="15.05">
      <c r="A31" s="12"/>
    </row>
    <row r="32" spans="1:2" ht="15.05">
      <c r="A32" s="12"/>
    </row>
    <row r="33" spans="1:1" ht="15.05">
      <c r="A33" s="12"/>
    </row>
    <row r="34" spans="1:1" ht="15.05">
      <c r="A34" s="12"/>
    </row>
    <row r="35" spans="1:1" ht="15.05">
      <c r="A35" s="12"/>
    </row>
    <row r="36" spans="1:1" ht="15.05">
      <c r="A36" s="12"/>
    </row>
    <row r="37" spans="1:1" ht="15.05">
      <c r="A37" s="12"/>
    </row>
    <row r="38" spans="1:1" ht="15.05">
      <c r="A38" s="12"/>
    </row>
    <row r="39" spans="1:1" ht="15.05">
      <c r="A39" s="12"/>
    </row>
    <row r="40" spans="1:1" ht="15.05">
      <c r="A40" s="12"/>
    </row>
    <row r="41" spans="1:1" ht="15.05">
      <c r="A41" s="12"/>
    </row>
    <row r="42" spans="1:1" ht="15.05">
      <c r="A42" s="12"/>
    </row>
    <row r="43" spans="1:1" ht="15.05">
      <c r="A43" s="12"/>
    </row>
    <row r="44" spans="1:1" ht="15.05">
      <c r="A44" s="12"/>
    </row>
    <row r="45" spans="1:1" ht="15.05">
      <c r="A45" s="12"/>
    </row>
    <row r="46" spans="1:1" ht="15.05">
      <c r="A46" s="12"/>
    </row>
    <row r="47" spans="1:1" ht="15.05">
      <c r="A47" s="12"/>
    </row>
    <row r="48" spans="1:1" ht="15.05">
      <c r="A48" s="12"/>
    </row>
    <row r="49" spans="1:1" ht="15.05">
      <c r="A49" s="12"/>
    </row>
    <row r="50" spans="1:1" ht="15.05">
      <c r="A50" s="12"/>
    </row>
    <row r="51" spans="1:1" ht="15.05">
      <c r="A51" s="12"/>
    </row>
    <row r="52" spans="1:1" ht="15.05">
      <c r="A52" s="12"/>
    </row>
    <row r="53" spans="1:1" ht="15.05">
      <c r="A53" s="12"/>
    </row>
    <row r="54" spans="1:1" ht="15.05">
      <c r="A54" s="12"/>
    </row>
    <row r="55" spans="1:1" ht="15.05">
      <c r="A55" s="12"/>
    </row>
    <row r="56" spans="1:1" ht="15.05">
      <c r="A56" s="12"/>
    </row>
    <row r="57" spans="1:1" ht="15.05">
      <c r="A57" s="12"/>
    </row>
    <row r="58" spans="1:1" ht="15.05">
      <c r="A58" s="12"/>
    </row>
    <row r="59" spans="1:1" ht="15.05">
      <c r="A59" s="12"/>
    </row>
    <row r="60" spans="1:1" ht="15.05">
      <c r="A60" s="12"/>
    </row>
    <row r="61" spans="1:1" ht="15.05">
      <c r="A61" s="12"/>
    </row>
    <row r="62" spans="1:1" ht="15.05">
      <c r="A62" s="12"/>
    </row>
    <row r="63" spans="1:1" ht="15.05">
      <c r="A63" s="12"/>
    </row>
    <row r="64" spans="1:1" ht="15.05">
      <c r="A64" s="12"/>
    </row>
    <row r="65" spans="1:1" ht="15.05">
      <c r="A65" s="12"/>
    </row>
    <row r="66" spans="1:1" ht="15.05">
      <c r="A66" s="12"/>
    </row>
    <row r="67" spans="1:1" ht="15.05">
      <c r="A67" s="12"/>
    </row>
    <row r="68" spans="1:1" ht="15.05">
      <c r="A68" s="12"/>
    </row>
    <row r="69" spans="1:1" ht="15.05">
      <c r="A69" s="12"/>
    </row>
    <row r="70" spans="1:1" ht="15.05">
      <c r="A70" s="12"/>
    </row>
    <row r="71" spans="1:1" ht="15.05">
      <c r="A71" s="12"/>
    </row>
    <row r="72" spans="1:1" ht="15.05">
      <c r="A72" s="12"/>
    </row>
    <row r="73" spans="1:1" ht="15.05">
      <c r="A73" s="12"/>
    </row>
    <row r="74" spans="1:1" ht="15.05">
      <c r="A74" s="12"/>
    </row>
    <row r="75" spans="1:1" ht="15.05">
      <c r="A75" s="12"/>
    </row>
    <row r="76" spans="1:1" ht="15.05">
      <c r="A76" s="12"/>
    </row>
    <row r="77" spans="1:1" ht="15.05">
      <c r="A77" s="12"/>
    </row>
    <row r="78" spans="1:1" ht="15.05">
      <c r="A78" s="12"/>
    </row>
    <row r="79" spans="1:1" ht="15.05">
      <c r="A79" s="12"/>
    </row>
    <row r="80" spans="1:1" ht="15.05">
      <c r="A80" s="12"/>
    </row>
    <row r="81" spans="1:1" ht="15.05">
      <c r="A81" s="12"/>
    </row>
    <row r="82" spans="1:1" ht="15.05">
      <c r="A82" s="12"/>
    </row>
    <row r="83" spans="1:1" ht="15.05">
      <c r="A83" s="12"/>
    </row>
    <row r="84" spans="1:1" ht="15.05">
      <c r="A84" s="12"/>
    </row>
    <row r="85" spans="1:1" ht="15.05">
      <c r="A85" s="12"/>
    </row>
    <row r="86" spans="1:1" ht="15.05">
      <c r="A86" s="12"/>
    </row>
    <row r="87" spans="1:1" ht="15.05">
      <c r="A87" s="12"/>
    </row>
    <row r="88" spans="1:1" ht="15.05">
      <c r="A88" s="12"/>
    </row>
    <row r="89" spans="1:1" ht="15.05">
      <c r="A89" s="12"/>
    </row>
    <row r="90" spans="1:1" ht="15.05">
      <c r="A90" s="12"/>
    </row>
    <row r="91" spans="1:1" ht="15.05">
      <c r="A91" s="12"/>
    </row>
    <row r="92" spans="1:1" ht="15.05">
      <c r="A92" s="12"/>
    </row>
    <row r="93" spans="1:1" ht="15.05">
      <c r="A93" s="12"/>
    </row>
    <row r="94" spans="1:1" ht="15.05">
      <c r="A94" s="12"/>
    </row>
    <row r="95" spans="1:1" ht="15.05">
      <c r="A95" s="12"/>
    </row>
    <row r="96" spans="1:1" ht="15.05">
      <c r="A96" s="12"/>
    </row>
    <row r="97" spans="1:1" ht="15.05">
      <c r="A97" s="12"/>
    </row>
    <row r="98" spans="1:1" ht="15.05">
      <c r="A98" s="12"/>
    </row>
    <row r="99" spans="1:1" ht="15.05">
      <c r="A99" s="12"/>
    </row>
    <row r="100" spans="1:1" ht="15.05">
      <c r="A100" s="12"/>
    </row>
    <row r="101" spans="1:1" ht="15.05">
      <c r="A101" s="12"/>
    </row>
    <row r="102" spans="1:1" ht="15.05">
      <c r="A102" s="12"/>
    </row>
    <row r="103" spans="1:1" ht="15.05">
      <c r="A103" s="12"/>
    </row>
    <row r="104" spans="1:1" ht="15.05">
      <c r="A104" s="12"/>
    </row>
    <row r="105" spans="1:1" ht="15.05">
      <c r="A105" s="12"/>
    </row>
    <row r="106" spans="1:1" ht="15.05">
      <c r="A106" s="12"/>
    </row>
    <row r="107" spans="1:1" ht="15.05">
      <c r="A107" s="12"/>
    </row>
    <row r="108" spans="1:1" ht="15.05">
      <c r="A108" s="12"/>
    </row>
    <row r="109" spans="1:1" ht="15.05">
      <c r="A109" s="12"/>
    </row>
    <row r="110" spans="1:1" ht="15.05">
      <c r="A110" s="12"/>
    </row>
    <row r="111" spans="1:1" ht="15.05">
      <c r="A111" s="12"/>
    </row>
    <row r="112" spans="1:1" ht="15.05">
      <c r="A112" s="12"/>
    </row>
    <row r="113" spans="1:1" ht="15.05">
      <c r="A113" s="12"/>
    </row>
    <row r="114" spans="1:1" ht="15.05">
      <c r="A114" s="12"/>
    </row>
    <row r="115" spans="1:1" ht="15.05">
      <c r="A115" s="12"/>
    </row>
    <row r="116" spans="1:1" ht="15.05">
      <c r="A116" s="12"/>
    </row>
    <row r="117" spans="1:1" ht="15.05">
      <c r="A117" s="12"/>
    </row>
    <row r="118" spans="1:1" ht="15.05">
      <c r="A118" s="12"/>
    </row>
    <row r="119" spans="1:1" ht="15.05">
      <c r="A119" s="12"/>
    </row>
    <row r="120" spans="1:1" ht="15.05">
      <c r="A120" s="12"/>
    </row>
    <row r="121" spans="1:1" ht="15.05">
      <c r="A121" s="12"/>
    </row>
    <row r="122" spans="1:1" ht="15.05">
      <c r="A122" s="12"/>
    </row>
    <row r="123" spans="1:1" ht="15.05">
      <c r="A123" s="12"/>
    </row>
    <row r="124" spans="1:1" ht="15.05">
      <c r="A124" s="12"/>
    </row>
    <row r="125" spans="1:1" ht="15.05">
      <c r="A125" s="12"/>
    </row>
    <row r="126" spans="1:1" ht="15.05">
      <c r="A126" s="12"/>
    </row>
    <row r="127" spans="1:1" ht="15.05">
      <c r="A127" s="12"/>
    </row>
    <row r="128" spans="1:1" ht="15.05">
      <c r="A128" s="12"/>
    </row>
    <row r="129" spans="1:1" ht="15.05">
      <c r="A129" s="12"/>
    </row>
    <row r="130" spans="1:1" ht="15.05">
      <c r="A130" s="12"/>
    </row>
    <row r="131" spans="1:1" ht="15.05">
      <c r="A131" s="12"/>
    </row>
    <row r="132" spans="1:1" ht="15.05">
      <c r="A132" s="12"/>
    </row>
    <row r="133" spans="1:1" ht="15.05">
      <c r="A133" s="12"/>
    </row>
    <row r="134" spans="1:1" ht="15.05">
      <c r="A134" s="12"/>
    </row>
    <row r="135" spans="1:1" ht="15.05">
      <c r="A135" s="12"/>
    </row>
    <row r="136" spans="1:1" ht="15.05">
      <c r="A136" s="12"/>
    </row>
    <row r="137" spans="1:1" ht="15.05">
      <c r="A137" s="12"/>
    </row>
    <row r="138" spans="1:1" ht="15.05">
      <c r="A138" s="12"/>
    </row>
    <row r="139" spans="1:1" ht="15.05">
      <c r="A139" s="12"/>
    </row>
    <row r="140" spans="1:1" ht="15.05">
      <c r="A140" s="12"/>
    </row>
    <row r="141" spans="1:1" ht="15.05">
      <c r="A141" s="12"/>
    </row>
    <row r="142" spans="1:1" ht="15.05">
      <c r="A142" s="12"/>
    </row>
    <row r="143" spans="1:1" ht="15.05">
      <c r="A143" s="12"/>
    </row>
    <row r="144" spans="1:1" ht="15.05">
      <c r="A144" s="12"/>
    </row>
    <row r="145" spans="1:1" ht="15.05">
      <c r="A145" s="12"/>
    </row>
    <row r="146" spans="1:1" ht="15.05">
      <c r="A146" s="12"/>
    </row>
    <row r="147" spans="1:1" ht="15.05">
      <c r="A147" s="12"/>
    </row>
    <row r="148" spans="1:1" ht="15.05">
      <c r="A148" s="12"/>
    </row>
    <row r="149" spans="1:1" ht="15.05">
      <c r="A149" s="12"/>
    </row>
    <row r="150" spans="1:1" ht="15.05">
      <c r="A150" s="12"/>
    </row>
    <row r="151" spans="1:1" ht="15.05">
      <c r="A151" s="12"/>
    </row>
    <row r="152" spans="1:1" ht="15.05">
      <c r="A152" s="12"/>
    </row>
    <row r="153" spans="1:1" ht="15.05">
      <c r="A153" s="12"/>
    </row>
    <row r="154" spans="1:1" ht="15.05">
      <c r="A154" s="12"/>
    </row>
    <row r="155" spans="1:1" ht="15.05">
      <c r="A155" s="12"/>
    </row>
    <row r="156" spans="1:1" ht="15.05">
      <c r="A156" s="12"/>
    </row>
    <row r="157" spans="1:1" ht="15.05">
      <c r="A157" s="12"/>
    </row>
    <row r="158" spans="1:1" ht="15.05">
      <c r="A158" s="12"/>
    </row>
    <row r="159" spans="1:1" ht="15.05">
      <c r="A159" s="12"/>
    </row>
    <row r="160" spans="1:1" ht="15.05">
      <c r="A160" s="12"/>
    </row>
    <row r="161" spans="1:1" ht="15.05">
      <c r="A161" s="12"/>
    </row>
    <row r="162" spans="1:1" ht="15.05">
      <c r="A162" s="12"/>
    </row>
    <row r="163" spans="1:1" ht="15.05">
      <c r="A163" s="12"/>
    </row>
    <row r="164" spans="1:1" ht="15.05">
      <c r="A164" s="12"/>
    </row>
    <row r="165" spans="1:1" ht="15.05">
      <c r="A165" s="12"/>
    </row>
    <row r="166" spans="1:1" ht="15.05">
      <c r="A166" s="12"/>
    </row>
    <row r="167" spans="1:1" ht="15.05">
      <c r="A167" s="12"/>
    </row>
    <row r="168" spans="1:1" ht="15.05">
      <c r="A168" s="12"/>
    </row>
    <row r="169" spans="1:1" ht="15.05">
      <c r="A169" s="12"/>
    </row>
    <row r="170" spans="1:1" ht="15.05">
      <c r="A170" s="12"/>
    </row>
    <row r="171" spans="1:1" ht="15.05">
      <c r="A171" s="12"/>
    </row>
    <row r="172" spans="1:1" ht="15.05">
      <c r="A172" s="12"/>
    </row>
    <row r="173" spans="1:1" ht="15.05">
      <c r="A173" s="12"/>
    </row>
    <row r="174" spans="1:1" ht="15.05">
      <c r="A174" s="12"/>
    </row>
    <row r="175" spans="1:1" ht="15.05">
      <c r="A175" s="12"/>
    </row>
    <row r="176" spans="1:1" ht="15.05">
      <c r="A176" s="12"/>
    </row>
    <row r="177" spans="1:1" ht="15.05">
      <c r="A177" s="12"/>
    </row>
    <row r="178" spans="1:1" ht="15.05">
      <c r="A178" s="12"/>
    </row>
    <row r="179" spans="1:1" ht="15.05">
      <c r="A179" s="12"/>
    </row>
    <row r="180" spans="1:1" ht="15.05">
      <c r="A180" s="12"/>
    </row>
    <row r="181" spans="1:1" ht="15.05">
      <c r="A181" s="12"/>
    </row>
    <row r="182" spans="1:1" ht="15.05">
      <c r="A182" s="12"/>
    </row>
    <row r="183" spans="1:1" ht="15.05">
      <c r="A183" s="12"/>
    </row>
    <row r="184" spans="1:1" ht="15.05">
      <c r="A184" s="12"/>
    </row>
    <row r="185" spans="1:1" ht="15.05">
      <c r="A185" s="12"/>
    </row>
    <row r="186" spans="1:1" ht="15.05">
      <c r="A186" s="12"/>
    </row>
    <row r="187" spans="1:1" ht="15.05">
      <c r="A187" s="12"/>
    </row>
    <row r="188" spans="1:1" ht="15.05">
      <c r="A188" s="12"/>
    </row>
    <row r="189" spans="1:1" ht="15.05">
      <c r="A189" s="12"/>
    </row>
    <row r="190" spans="1:1" ht="15.05">
      <c r="A190" s="12"/>
    </row>
    <row r="191" spans="1:1" ht="15.05">
      <c r="A191" s="12"/>
    </row>
    <row r="192" spans="1:1" ht="15.05">
      <c r="A192" s="12"/>
    </row>
    <row r="193" spans="1:1" ht="15.05">
      <c r="A193" s="12"/>
    </row>
    <row r="194" spans="1:1" ht="15.05">
      <c r="A194" s="12"/>
    </row>
    <row r="195" spans="1:1" ht="15.05">
      <c r="A195" s="12"/>
    </row>
    <row r="196" spans="1:1" ht="15.05">
      <c r="A196" s="12"/>
    </row>
    <row r="197" spans="1:1" ht="15.05">
      <c r="A197" s="12"/>
    </row>
    <row r="198" spans="1:1" ht="15.05">
      <c r="A198" s="12"/>
    </row>
    <row r="199" spans="1:1" ht="15.05">
      <c r="A199" s="12"/>
    </row>
    <row r="200" spans="1:1" ht="15.05">
      <c r="A200" s="12"/>
    </row>
    <row r="201" spans="1:1" ht="15.05">
      <c r="A201" s="12"/>
    </row>
    <row r="202" spans="1:1" ht="15.05">
      <c r="A202" s="12"/>
    </row>
    <row r="203" spans="1:1" ht="15.05">
      <c r="A203" s="12"/>
    </row>
    <row r="204" spans="1:1" ht="15.05">
      <c r="A204" s="12"/>
    </row>
    <row r="205" spans="1:1" ht="15.05">
      <c r="A205" s="12"/>
    </row>
    <row r="206" spans="1:1" ht="15.05">
      <c r="A206" s="12"/>
    </row>
    <row r="207" spans="1:1" ht="15.05">
      <c r="A207" s="12"/>
    </row>
    <row r="208" spans="1:1" ht="15.05">
      <c r="A208" s="12"/>
    </row>
    <row r="209" spans="1:1" ht="15.05">
      <c r="A209" s="12"/>
    </row>
    <row r="210" spans="1:1" ht="15.05">
      <c r="A210" s="12"/>
    </row>
    <row r="211" spans="1:1" ht="15.05">
      <c r="A211" s="12"/>
    </row>
    <row r="212" spans="1:1" ht="15.05">
      <c r="A212" s="12"/>
    </row>
    <row r="213" spans="1:1" ht="15.05">
      <c r="A213" s="12"/>
    </row>
    <row r="214" spans="1:1" ht="15.05">
      <c r="A214" s="12"/>
    </row>
    <row r="215" spans="1:1" ht="15.05">
      <c r="A215" s="12"/>
    </row>
    <row r="216" spans="1:1" ht="15.05">
      <c r="A216" s="12"/>
    </row>
    <row r="217" spans="1:1" ht="15.05">
      <c r="A217" s="12"/>
    </row>
    <row r="218" spans="1:1" ht="15.05">
      <c r="A218" s="12"/>
    </row>
    <row r="219" spans="1:1" ht="15.05">
      <c r="A219" s="12"/>
    </row>
    <row r="220" spans="1:1" ht="15.05">
      <c r="A220" s="12"/>
    </row>
    <row r="221" spans="1:1" ht="15.05">
      <c r="A221" s="12"/>
    </row>
    <row r="222" spans="1:1" ht="15.05">
      <c r="A222" s="12"/>
    </row>
    <row r="223" spans="1:1" ht="15.05">
      <c r="A223" s="12"/>
    </row>
    <row r="224" spans="1:1" ht="15.05">
      <c r="A224" s="12"/>
    </row>
    <row r="225" spans="1:1" ht="15.05">
      <c r="A225" s="12"/>
    </row>
    <row r="226" spans="1:1" ht="15.05">
      <c r="A226" s="12"/>
    </row>
    <row r="227" spans="1:1" ht="15.05">
      <c r="A227" s="12"/>
    </row>
    <row r="228" spans="1:1" ht="15.05">
      <c r="A228" s="12"/>
    </row>
    <row r="229" spans="1:1" ht="15.05">
      <c r="A229" s="12"/>
    </row>
    <row r="230" spans="1:1" ht="15.05">
      <c r="A230" s="12"/>
    </row>
    <row r="231" spans="1:1" ht="15.05">
      <c r="A231" s="12"/>
    </row>
    <row r="232" spans="1:1" ht="15.05">
      <c r="A232" s="12"/>
    </row>
    <row r="233" spans="1:1" ht="15.05">
      <c r="A233" s="12"/>
    </row>
    <row r="234" spans="1:1" ht="15.05">
      <c r="A234" s="12"/>
    </row>
    <row r="235" spans="1:1" ht="15.05">
      <c r="A235" s="12"/>
    </row>
    <row r="236" spans="1:1" ht="15.05">
      <c r="A236" s="12"/>
    </row>
    <row r="237" spans="1:1" ht="15.05">
      <c r="A237" s="12"/>
    </row>
    <row r="238" spans="1:1" ht="15.05">
      <c r="A238" s="12"/>
    </row>
    <row r="239" spans="1:1" ht="15.05">
      <c r="A239" s="12"/>
    </row>
    <row r="240" spans="1:1" ht="15.05">
      <c r="A240" s="12"/>
    </row>
    <row r="241" spans="1:1" ht="15.05">
      <c r="A241" s="12"/>
    </row>
    <row r="242" spans="1:1" ht="15.05">
      <c r="A242" s="12"/>
    </row>
    <row r="243" spans="1:1" ht="15.05">
      <c r="A243" s="12"/>
    </row>
    <row r="244" spans="1:1" ht="15.05">
      <c r="A244" s="12"/>
    </row>
    <row r="245" spans="1:1" ht="15.05">
      <c r="A245" s="12"/>
    </row>
    <row r="246" spans="1:1" ht="15.05">
      <c r="A246" s="12"/>
    </row>
    <row r="247" spans="1:1" ht="15.05">
      <c r="A247" s="12"/>
    </row>
    <row r="248" spans="1:1" ht="15.05">
      <c r="A248" s="12"/>
    </row>
    <row r="249" spans="1:1" ht="15.05">
      <c r="A249" s="12"/>
    </row>
    <row r="250" spans="1:1" ht="15.05">
      <c r="A250" s="12"/>
    </row>
    <row r="251" spans="1:1" ht="15.05">
      <c r="A251" s="12"/>
    </row>
    <row r="252" spans="1:1" ht="15.05">
      <c r="A252" s="12"/>
    </row>
    <row r="253" spans="1:1" ht="15.05">
      <c r="A253" s="12"/>
    </row>
    <row r="254" spans="1:1" ht="15.05">
      <c r="A254" s="12"/>
    </row>
    <row r="255" spans="1:1" ht="15.05">
      <c r="A255" s="12"/>
    </row>
    <row r="256" spans="1:1" ht="15.05">
      <c r="A256" s="12"/>
    </row>
    <row r="257" spans="1:1" ht="15.05">
      <c r="A257" s="12"/>
    </row>
    <row r="258" spans="1:1" ht="15.05">
      <c r="A258" s="12"/>
    </row>
    <row r="259" spans="1:1" ht="15.05">
      <c r="A259" s="12"/>
    </row>
    <row r="260" spans="1:1" ht="15.05">
      <c r="A260" s="12"/>
    </row>
    <row r="261" spans="1:1" ht="15.05">
      <c r="A261" s="12"/>
    </row>
    <row r="262" spans="1:1" ht="15.05">
      <c r="A262" s="12"/>
    </row>
    <row r="263" spans="1:1" ht="15.05">
      <c r="A263" s="12"/>
    </row>
    <row r="264" spans="1:1" ht="15.05">
      <c r="A264" s="12"/>
    </row>
    <row r="265" spans="1:1" ht="15.05">
      <c r="A265" s="12"/>
    </row>
    <row r="266" spans="1:1" ht="15.05">
      <c r="A266" s="12"/>
    </row>
    <row r="267" spans="1:1" ht="15.05">
      <c r="A267" s="12"/>
    </row>
    <row r="268" spans="1:1" ht="15.05">
      <c r="A268" s="12"/>
    </row>
    <row r="269" spans="1:1" ht="15.05">
      <c r="A269" s="12"/>
    </row>
    <row r="270" spans="1:1" ht="15.05">
      <c r="A270" s="12"/>
    </row>
    <row r="271" spans="1:1" ht="15.05">
      <c r="A271" s="12"/>
    </row>
    <row r="272" spans="1:1" ht="15.05">
      <c r="A272" s="12"/>
    </row>
    <row r="273" spans="1:1" ht="15.05">
      <c r="A273" s="12"/>
    </row>
    <row r="274" spans="1:1" ht="15.05">
      <c r="A274" s="12"/>
    </row>
    <row r="275" spans="1:1" ht="15.05">
      <c r="A275" s="12"/>
    </row>
    <row r="276" spans="1:1" ht="15.05">
      <c r="A276" s="12"/>
    </row>
    <row r="277" spans="1:1" ht="15.05">
      <c r="A277" s="12"/>
    </row>
    <row r="278" spans="1:1" ht="15.05">
      <c r="A278" s="12"/>
    </row>
    <row r="279" spans="1:1" ht="15.05">
      <c r="A279" s="12"/>
    </row>
    <row r="280" spans="1:1" ht="15.05">
      <c r="A280" s="12"/>
    </row>
    <row r="281" spans="1:1" ht="15.05">
      <c r="A281" s="12"/>
    </row>
    <row r="282" spans="1:1" ht="15.05">
      <c r="A282" s="12"/>
    </row>
    <row r="283" spans="1:1" ht="15.05">
      <c r="A283" s="12"/>
    </row>
    <row r="284" spans="1:1" ht="15.05">
      <c r="A284" s="12"/>
    </row>
    <row r="285" spans="1:1" ht="15.05">
      <c r="A285" s="12"/>
    </row>
    <row r="286" spans="1:1" ht="15.05">
      <c r="A286" s="12"/>
    </row>
    <row r="287" spans="1:1" ht="15.05">
      <c r="A287" s="12"/>
    </row>
    <row r="288" spans="1:1" ht="15.05">
      <c r="A288" s="12"/>
    </row>
    <row r="289" spans="1:1" ht="15.05">
      <c r="A289" s="12"/>
    </row>
    <row r="290" spans="1:1" ht="15.05">
      <c r="A290" s="12"/>
    </row>
    <row r="291" spans="1:1" ht="15.05">
      <c r="A291" s="12"/>
    </row>
    <row r="292" spans="1:1" ht="15.05">
      <c r="A292" s="12"/>
    </row>
    <row r="293" spans="1:1" ht="15.05">
      <c r="A293" s="12"/>
    </row>
    <row r="294" spans="1:1" ht="15.05">
      <c r="A294" s="12"/>
    </row>
    <row r="295" spans="1:1" ht="15.05">
      <c r="A295" s="12"/>
    </row>
    <row r="296" spans="1:1" ht="15.05">
      <c r="A296" s="12"/>
    </row>
    <row r="297" spans="1:1" ht="15.05">
      <c r="A297" s="12"/>
    </row>
    <row r="298" spans="1:1" ht="15.05">
      <c r="A298" s="12"/>
    </row>
    <row r="299" spans="1:1" ht="15.05">
      <c r="A299" s="12"/>
    </row>
    <row r="300" spans="1:1" ht="15.05">
      <c r="A300" s="12"/>
    </row>
    <row r="301" spans="1:1" ht="15.05">
      <c r="A301" s="12"/>
    </row>
    <row r="302" spans="1:1" ht="15.05">
      <c r="A302" s="12"/>
    </row>
    <row r="303" spans="1:1" ht="15.05">
      <c r="A303" s="12"/>
    </row>
    <row r="304" spans="1:1" ht="15.05">
      <c r="A304" s="12"/>
    </row>
    <row r="305" spans="1:1" ht="15.05">
      <c r="A305" s="12"/>
    </row>
    <row r="306" spans="1:1" ht="15.05">
      <c r="A306" s="12"/>
    </row>
    <row r="307" spans="1:1" ht="15.05">
      <c r="A307" s="12"/>
    </row>
    <row r="308" spans="1:1" ht="15.05">
      <c r="A308" s="12"/>
    </row>
    <row r="309" spans="1:1" ht="15.05">
      <c r="A309" s="12"/>
    </row>
    <row r="310" spans="1:1" ht="15.05">
      <c r="A310" s="12"/>
    </row>
    <row r="311" spans="1:1" ht="15.05">
      <c r="A311" s="12"/>
    </row>
    <row r="312" spans="1:1" ht="15.05">
      <c r="A312" s="12"/>
    </row>
    <row r="313" spans="1:1" ht="15.05">
      <c r="A313" s="12"/>
    </row>
    <row r="314" spans="1:1" ht="15.05">
      <c r="A314" s="12"/>
    </row>
    <row r="315" spans="1:1" ht="15.05">
      <c r="A315" s="12"/>
    </row>
    <row r="316" spans="1:1" ht="15.05">
      <c r="A316" s="12"/>
    </row>
    <row r="317" spans="1:1" ht="15.05">
      <c r="A317" s="12"/>
    </row>
    <row r="318" spans="1:1" ht="15.05">
      <c r="A318" s="12"/>
    </row>
    <row r="319" spans="1:1" ht="15.05">
      <c r="A319" s="12"/>
    </row>
    <row r="320" spans="1:1" ht="15.05">
      <c r="A320" s="12"/>
    </row>
    <row r="321" spans="1:1" ht="15.05">
      <c r="A321" s="12"/>
    </row>
    <row r="322" spans="1:1" ht="15.05">
      <c r="A322" s="12"/>
    </row>
    <row r="323" spans="1:1" ht="15.05">
      <c r="A323" s="12"/>
    </row>
    <row r="324" spans="1:1" ht="15.05">
      <c r="A324" s="12"/>
    </row>
    <row r="325" spans="1:1" ht="15.05">
      <c r="A325" s="12"/>
    </row>
    <row r="326" spans="1:1" ht="15.05">
      <c r="A326" s="12"/>
    </row>
    <row r="327" spans="1:1" ht="15.05">
      <c r="A327" s="12"/>
    </row>
    <row r="328" spans="1:1" ht="15.05">
      <c r="A328" s="12"/>
    </row>
    <row r="329" spans="1:1" ht="15.05">
      <c r="A329" s="12"/>
    </row>
    <row r="330" spans="1:1" ht="15.05">
      <c r="A330" s="12"/>
    </row>
    <row r="331" spans="1:1" ht="15.05">
      <c r="A331" s="12"/>
    </row>
    <row r="332" spans="1:1" ht="15.05">
      <c r="A332" s="12"/>
    </row>
    <row r="333" spans="1:1" ht="15.05">
      <c r="A333" s="12"/>
    </row>
    <row r="334" spans="1:1" ht="15.05">
      <c r="A334" s="12"/>
    </row>
    <row r="335" spans="1:1" ht="15.05">
      <c r="A335" s="12"/>
    </row>
    <row r="336" spans="1:1" ht="15.05">
      <c r="A336" s="12"/>
    </row>
    <row r="337" spans="1:1" ht="15.05">
      <c r="A337" s="12"/>
    </row>
    <row r="338" spans="1:1" ht="15.05">
      <c r="A338" s="12"/>
    </row>
    <row r="339" spans="1:1" ht="15.05">
      <c r="A339" s="12"/>
    </row>
    <row r="340" spans="1:1" ht="15.05">
      <c r="A340" s="12"/>
    </row>
    <row r="341" spans="1:1" ht="15.05">
      <c r="A341" s="12"/>
    </row>
    <row r="342" spans="1:1" ht="15.05">
      <c r="A342" s="12"/>
    </row>
    <row r="343" spans="1:1" ht="15.05">
      <c r="A343" s="12"/>
    </row>
    <row r="344" spans="1:1" ht="15.05">
      <c r="A344" s="12"/>
    </row>
    <row r="345" spans="1:1" ht="15.05">
      <c r="A345" s="12"/>
    </row>
    <row r="346" spans="1:1" ht="15.05">
      <c r="A346" s="12"/>
    </row>
    <row r="347" spans="1:1" ht="15.05">
      <c r="A347" s="12"/>
    </row>
    <row r="348" spans="1:1" ht="15.05">
      <c r="A348" s="12"/>
    </row>
    <row r="349" spans="1:1" ht="15.05">
      <c r="A349" s="12"/>
    </row>
    <row r="350" spans="1:1" ht="15.05">
      <c r="A350" s="12"/>
    </row>
    <row r="351" spans="1:1" ht="15.05">
      <c r="A351" s="12"/>
    </row>
    <row r="352" spans="1:1" ht="15.05">
      <c r="A352" s="12"/>
    </row>
    <row r="353" spans="1:1" ht="15.05">
      <c r="A353" s="12"/>
    </row>
    <row r="354" spans="1:1" ht="15.05">
      <c r="A354" s="12"/>
    </row>
    <row r="355" spans="1:1" ht="15.05">
      <c r="A355" s="12"/>
    </row>
    <row r="356" spans="1:1" ht="15.05">
      <c r="A356" s="12"/>
    </row>
    <row r="357" spans="1:1" ht="15.05">
      <c r="A357" s="12"/>
    </row>
    <row r="358" spans="1:1" ht="15.05">
      <c r="A358" s="12"/>
    </row>
    <row r="359" spans="1:1" ht="15.05">
      <c r="A359" s="12"/>
    </row>
    <row r="360" spans="1:1" ht="15.05">
      <c r="A360" s="12"/>
    </row>
    <row r="361" spans="1:1" ht="15.05">
      <c r="A361" s="12"/>
    </row>
    <row r="362" spans="1:1" ht="15.05">
      <c r="A362" s="12"/>
    </row>
    <row r="363" spans="1:1" ht="15.05">
      <c r="A363" s="12"/>
    </row>
    <row r="364" spans="1:1" ht="15.05">
      <c r="A364" s="12"/>
    </row>
    <row r="365" spans="1:1" ht="15.05">
      <c r="A365" s="12"/>
    </row>
    <row r="366" spans="1:1" ht="15.05">
      <c r="A366" s="12"/>
    </row>
    <row r="367" spans="1:1" ht="15.05">
      <c r="A367" s="12"/>
    </row>
    <row r="368" spans="1:1" ht="15.05">
      <c r="A368" s="12"/>
    </row>
    <row r="369" spans="1:1" ht="15.05">
      <c r="A369" s="12"/>
    </row>
    <row r="370" spans="1:1" ht="15.05">
      <c r="A370" s="12"/>
    </row>
    <row r="371" spans="1:1" ht="15.05">
      <c r="A371" s="12"/>
    </row>
    <row r="372" spans="1:1" ht="15.05">
      <c r="A372" s="12"/>
    </row>
    <row r="373" spans="1:1" ht="15.05">
      <c r="A373" s="12"/>
    </row>
    <row r="374" spans="1:1" ht="15.05">
      <c r="A374" s="12"/>
    </row>
    <row r="375" spans="1:1" ht="15.05">
      <c r="A375" s="12"/>
    </row>
    <row r="376" spans="1:1" ht="15.05">
      <c r="A376" s="12"/>
    </row>
    <row r="377" spans="1:1" ht="15.05">
      <c r="A377" s="12"/>
    </row>
    <row r="378" spans="1:1" ht="15.05">
      <c r="A378" s="12"/>
    </row>
    <row r="379" spans="1:1" ht="15.05">
      <c r="A379" s="12"/>
    </row>
    <row r="380" spans="1:1" ht="15.05">
      <c r="A380" s="12"/>
    </row>
    <row r="381" spans="1:1" ht="15.05">
      <c r="A381" s="12"/>
    </row>
    <row r="382" spans="1:1" ht="15.05">
      <c r="A382" s="12"/>
    </row>
    <row r="383" spans="1:1" ht="15.05">
      <c r="A383" s="12"/>
    </row>
    <row r="384" spans="1:1" ht="15.05">
      <c r="A384" s="12"/>
    </row>
    <row r="385" spans="1:1" ht="15.05">
      <c r="A385" s="12"/>
    </row>
    <row r="386" spans="1:1" ht="15.05">
      <c r="A386" s="12"/>
    </row>
    <row r="387" spans="1:1" ht="15.05">
      <c r="A387" s="12"/>
    </row>
    <row r="388" spans="1:1" ht="15.05">
      <c r="A388" s="12"/>
    </row>
    <row r="389" spans="1:1" ht="15.05">
      <c r="A389" s="12"/>
    </row>
    <row r="390" spans="1:1" ht="15.05">
      <c r="A390" s="12"/>
    </row>
    <row r="391" spans="1:1" ht="15.05">
      <c r="A391" s="12"/>
    </row>
    <row r="392" spans="1:1" ht="15.05">
      <c r="A392" s="12"/>
    </row>
    <row r="393" spans="1:1" ht="15.05">
      <c r="A393" s="12"/>
    </row>
    <row r="394" spans="1:1" ht="15.05">
      <c r="A394" s="12"/>
    </row>
    <row r="395" spans="1:1" ht="15.05">
      <c r="A395" s="12"/>
    </row>
    <row r="396" spans="1:1" ht="15.05">
      <c r="A396" s="12"/>
    </row>
    <row r="397" spans="1:1" ht="15.05">
      <c r="A397" s="12"/>
    </row>
    <row r="398" spans="1:1" ht="15.05">
      <c r="A398" s="12"/>
    </row>
    <row r="399" spans="1:1" ht="15.05">
      <c r="A399" s="12"/>
    </row>
    <row r="400" spans="1:1" ht="15.05">
      <c r="A400" s="12"/>
    </row>
    <row r="401" spans="1:1" ht="15.05">
      <c r="A401" s="12"/>
    </row>
    <row r="402" spans="1:1" ht="15.05">
      <c r="A402" s="12"/>
    </row>
    <row r="403" spans="1:1" ht="15.05">
      <c r="A403" s="12"/>
    </row>
    <row r="404" spans="1:1" ht="15.05">
      <c r="A404" s="12"/>
    </row>
    <row r="405" spans="1:1" ht="15.05">
      <c r="A405" s="12"/>
    </row>
    <row r="406" spans="1:1" ht="15.05">
      <c r="A406" s="12"/>
    </row>
    <row r="407" spans="1:1" ht="15.05">
      <c r="A407" s="12"/>
    </row>
    <row r="408" spans="1:1" ht="15.05">
      <c r="A408" s="12"/>
    </row>
    <row r="409" spans="1:1" ht="15.05">
      <c r="A409" s="12"/>
    </row>
    <row r="410" spans="1:1" ht="15.05">
      <c r="A410" s="12"/>
    </row>
    <row r="411" spans="1:1" ht="15.05">
      <c r="A411" s="12"/>
    </row>
    <row r="412" spans="1:1" ht="15.05">
      <c r="A412" s="12"/>
    </row>
    <row r="413" spans="1:1" ht="15.05">
      <c r="A413" s="12"/>
    </row>
    <row r="414" spans="1:1" ht="15.05">
      <c r="A414" s="12"/>
    </row>
    <row r="415" spans="1:1" ht="15.05">
      <c r="A415" s="12"/>
    </row>
    <row r="416" spans="1:1" ht="15.05">
      <c r="A416" s="12"/>
    </row>
    <row r="417" spans="1:1" ht="15.05">
      <c r="A417" s="12"/>
    </row>
    <row r="418" spans="1:1" ht="15.05">
      <c r="A418" s="12"/>
    </row>
    <row r="419" spans="1:1" ht="15.05">
      <c r="A419" s="12"/>
    </row>
    <row r="420" spans="1:1" ht="15.05">
      <c r="A420" s="12"/>
    </row>
    <row r="421" spans="1:1" ht="15.05">
      <c r="A421" s="12"/>
    </row>
    <row r="422" spans="1:1" ht="15.05">
      <c r="A422" s="12"/>
    </row>
    <row r="423" spans="1:1" ht="15.05">
      <c r="A423" s="12"/>
    </row>
    <row r="424" spans="1:1" ht="15.05">
      <c r="A424" s="12"/>
    </row>
    <row r="425" spans="1:1" ht="15.05">
      <c r="A425" s="12"/>
    </row>
    <row r="426" spans="1:1" ht="15.05">
      <c r="A426" s="12"/>
    </row>
    <row r="427" spans="1:1" ht="15.05">
      <c r="A427" s="12"/>
    </row>
    <row r="428" spans="1:1" ht="15.05">
      <c r="A428" s="12"/>
    </row>
    <row r="429" spans="1:1" ht="15.05">
      <c r="A429" s="12"/>
    </row>
    <row r="430" spans="1:1" ht="15.05">
      <c r="A430" s="12"/>
    </row>
    <row r="431" spans="1:1" ht="15.05">
      <c r="A431" s="12"/>
    </row>
    <row r="432" spans="1:1" ht="15.05">
      <c r="A432" s="12"/>
    </row>
    <row r="433" spans="1:1" ht="15.05">
      <c r="A433" s="12"/>
    </row>
    <row r="434" spans="1:1" ht="15.05">
      <c r="A434" s="12"/>
    </row>
    <row r="435" spans="1:1" ht="15.05">
      <c r="A435" s="12"/>
    </row>
    <row r="436" spans="1:1" ht="15.05">
      <c r="A436" s="12"/>
    </row>
    <row r="437" spans="1:1" ht="15.05">
      <c r="A437" s="12"/>
    </row>
    <row r="438" spans="1:1" ht="15.05">
      <c r="A438" s="12"/>
    </row>
    <row r="439" spans="1:1" ht="15.05">
      <c r="A439" s="12"/>
    </row>
    <row r="440" spans="1:1" ht="15.05">
      <c r="A440" s="12"/>
    </row>
    <row r="441" spans="1:1" ht="15.05">
      <c r="A441" s="12"/>
    </row>
    <row r="442" spans="1:1" ht="15.05">
      <c r="A442" s="12"/>
    </row>
    <row r="443" spans="1:1" ht="15.05">
      <c r="A443" s="12"/>
    </row>
    <row r="444" spans="1:1" ht="15.05">
      <c r="A444" s="12"/>
    </row>
    <row r="445" spans="1:1" ht="15.05">
      <c r="A445" s="12"/>
    </row>
    <row r="446" spans="1:1" ht="15.05">
      <c r="A446" s="12"/>
    </row>
    <row r="447" spans="1:1" ht="15.05">
      <c r="A447" s="12"/>
    </row>
    <row r="448" spans="1:1" ht="15.05">
      <c r="A448" s="12"/>
    </row>
    <row r="449" spans="1:1" ht="15.05">
      <c r="A449" s="12"/>
    </row>
    <row r="450" spans="1:1" ht="15.05">
      <c r="A450" s="12"/>
    </row>
    <row r="451" spans="1:1" ht="15.05">
      <c r="A451" s="12"/>
    </row>
    <row r="452" spans="1:1" ht="15.05">
      <c r="A452" s="12"/>
    </row>
    <row r="453" spans="1:1" ht="15.05">
      <c r="A453" s="12"/>
    </row>
    <row r="454" spans="1:1" ht="15.05">
      <c r="A454" s="12"/>
    </row>
    <row r="455" spans="1:1" ht="15.05">
      <c r="A455" s="12"/>
    </row>
    <row r="456" spans="1:1" ht="15.05">
      <c r="A456" s="12"/>
    </row>
    <row r="457" spans="1:1" ht="15.05">
      <c r="A457" s="12"/>
    </row>
    <row r="458" spans="1:1" ht="15.05">
      <c r="A458" s="12"/>
    </row>
    <row r="459" spans="1:1" ht="15.05">
      <c r="A459" s="12"/>
    </row>
    <row r="460" spans="1:1" ht="15.05">
      <c r="A460" s="12"/>
    </row>
    <row r="461" spans="1:1" ht="15.05">
      <c r="A461" s="12"/>
    </row>
    <row r="462" spans="1:1" ht="15.05">
      <c r="A462" s="12"/>
    </row>
    <row r="463" spans="1:1" ht="15.05">
      <c r="A463" s="12"/>
    </row>
    <row r="464" spans="1:1" ht="15.05">
      <c r="A464" s="12"/>
    </row>
    <row r="465" spans="1:1" ht="15.05">
      <c r="A465" s="12"/>
    </row>
    <row r="466" spans="1:1" ht="15.05">
      <c r="A466" s="12"/>
    </row>
    <row r="467" spans="1:1" ht="15.05">
      <c r="A467" s="12"/>
    </row>
    <row r="468" spans="1:1" ht="15.05">
      <c r="A468" s="12"/>
    </row>
    <row r="469" spans="1:1" ht="15.05">
      <c r="A469" s="12"/>
    </row>
    <row r="470" spans="1:1" ht="15.05">
      <c r="A470" s="12"/>
    </row>
    <row r="471" spans="1:1" ht="15.05">
      <c r="A471" s="12"/>
    </row>
    <row r="472" spans="1:1" ht="15.05">
      <c r="A472" s="12"/>
    </row>
    <row r="473" spans="1:1" ht="15.05">
      <c r="A473" s="12"/>
    </row>
    <row r="474" spans="1:1" ht="15.05">
      <c r="A474" s="12"/>
    </row>
    <row r="475" spans="1:1" ht="15.05">
      <c r="A475" s="12"/>
    </row>
    <row r="476" spans="1:1" ht="15.05">
      <c r="A476" s="12"/>
    </row>
    <row r="477" spans="1:1" ht="15.05">
      <c r="A477" s="12"/>
    </row>
    <row r="478" spans="1:1" ht="15.05">
      <c r="A478" s="12"/>
    </row>
    <row r="479" spans="1:1" ht="15.05">
      <c r="A479" s="12"/>
    </row>
    <row r="480" spans="1:1" ht="15.05">
      <c r="A480" s="12"/>
    </row>
    <row r="481" spans="1:1" ht="15.05">
      <c r="A481" s="12"/>
    </row>
    <row r="482" spans="1:1" ht="15.05">
      <c r="A482" s="12"/>
    </row>
    <row r="483" spans="1:1" ht="15.05">
      <c r="A483" s="12"/>
    </row>
    <row r="484" spans="1:1" ht="15.05">
      <c r="A484" s="12"/>
    </row>
    <row r="485" spans="1:1" ht="15.05">
      <c r="A485" s="12"/>
    </row>
    <row r="486" spans="1:1" ht="15.05">
      <c r="A486" s="12"/>
    </row>
    <row r="487" spans="1:1" ht="15.05">
      <c r="A487" s="12"/>
    </row>
    <row r="488" spans="1:1" ht="15.05">
      <c r="A488" s="12"/>
    </row>
    <row r="489" spans="1:1" ht="15.05">
      <c r="A489" s="12"/>
    </row>
    <row r="490" spans="1:1" ht="15.05">
      <c r="A490" s="12"/>
    </row>
    <row r="491" spans="1:1" ht="15.05">
      <c r="A491" s="12"/>
    </row>
    <row r="492" spans="1:1" ht="15.05">
      <c r="A492" s="12"/>
    </row>
    <row r="493" spans="1:1" ht="15.05">
      <c r="A493" s="12"/>
    </row>
    <row r="494" spans="1:1" ht="15.05">
      <c r="A494" s="12"/>
    </row>
    <row r="495" spans="1:1" ht="15.05">
      <c r="A495" s="12"/>
    </row>
    <row r="496" spans="1:1" ht="15.05">
      <c r="A496" s="12"/>
    </row>
    <row r="497" spans="1:1" ht="15.05">
      <c r="A497" s="12"/>
    </row>
    <row r="498" spans="1:1" ht="15.05">
      <c r="A498" s="12"/>
    </row>
    <row r="499" spans="1:1" ht="15.05">
      <c r="A499" s="12"/>
    </row>
    <row r="500" spans="1:1" ht="15.05">
      <c r="A500" s="12"/>
    </row>
    <row r="501" spans="1:1" ht="15.05">
      <c r="A501" s="12"/>
    </row>
    <row r="502" spans="1:1" ht="15.05">
      <c r="A502" s="12"/>
    </row>
    <row r="503" spans="1:1" ht="15.05">
      <c r="A503" s="12"/>
    </row>
    <row r="504" spans="1:1" ht="15.05">
      <c r="A504" s="12"/>
    </row>
    <row r="505" spans="1:1" ht="15.05">
      <c r="A505" s="12"/>
    </row>
    <row r="506" spans="1:1" ht="15.05">
      <c r="A506" s="12"/>
    </row>
    <row r="507" spans="1:1" ht="15.05">
      <c r="A507" s="12"/>
    </row>
    <row r="508" spans="1:1" ht="15.05">
      <c r="A508" s="12"/>
    </row>
    <row r="509" spans="1:1" ht="15.05">
      <c r="A509" s="12"/>
    </row>
    <row r="510" spans="1:1" ht="15.05">
      <c r="A510" s="12"/>
    </row>
    <row r="511" spans="1:1" ht="15.05">
      <c r="A511" s="12"/>
    </row>
    <row r="512" spans="1:1" ht="15.05">
      <c r="A512" s="12"/>
    </row>
    <row r="513" spans="1:1" ht="15.05">
      <c r="A513" s="12"/>
    </row>
    <row r="514" spans="1:1" ht="15.05">
      <c r="A514" s="12"/>
    </row>
    <row r="515" spans="1:1" ht="15.05">
      <c r="A515" s="12"/>
    </row>
    <row r="516" spans="1:1" ht="15.05">
      <c r="A516" s="12"/>
    </row>
    <row r="517" spans="1:1" ht="15.05">
      <c r="A517" s="12"/>
    </row>
    <row r="518" spans="1:1" ht="15.05">
      <c r="A518" s="12"/>
    </row>
    <row r="519" spans="1:1" ht="15.05">
      <c r="A519" s="12"/>
    </row>
    <row r="520" spans="1:1" ht="15.05">
      <c r="A520" s="12"/>
    </row>
    <row r="521" spans="1:1" ht="15.05">
      <c r="A521" s="12"/>
    </row>
    <row r="522" spans="1:1" ht="15.05">
      <c r="A522" s="12"/>
    </row>
    <row r="523" spans="1:1" ht="15.05">
      <c r="A523" s="12"/>
    </row>
    <row r="524" spans="1:1" ht="15.05">
      <c r="A524" s="12"/>
    </row>
    <row r="525" spans="1:1" ht="15.05">
      <c r="A525" s="12"/>
    </row>
    <row r="526" spans="1:1" ht="15.05">
      <c r="A526" s="12"/>
    </row>
    <row r="527" spans="1:1" ht="15.05">
      <c r="A527" s="12"/>
    </row>
    <row r="528" spans="1:1" ht="15.05">
      <c r="A528" s="12"/>
    </row>
    <row r="529" spans="1:1" ht="15.05">
      <c r="A529" s="12"/>
    </row>
    <row r="530" spans="1:1" ht="15.05">
      <c r="A530" s="12"/>
    </row>
    <row r="531" spans="1:1" ht="15.05">
      <c r="A531" s="12"/>
    </row>
    <row r="532" spans="1:1" ht="15.05">
      <c r="A532" s="12"/>
    </row>
    <row r="533" spans="1:1" ht="15.05">
      <c r="A533" s="12"/>
    </row>
    <row r="534" spans="1:1" ht="15.05">
      <c r="A534" s="12"/>
    </row>
    <row r="535" spans="1:1" ht="15.05">
      <c r="A535" s="12"/>
    </row>
    <row r="536" spans="1:1" ht="15.05">
      <c r="A536" s="12"/>
    </row>
    <row r="537" spans="1:1" ht="15.05">
      <c r="A537" s="12"/>
    </row>
    <row r="538" spans="1:1" ht="15.05">
      <c r="A538" s="12"/>
    </row>
    <row r="539" spans="1:1" ht="15.05">
      <c r="A539" s="12"/>
    </row>
    <row r="540" spans="1:1" ht="15.05">
      <c r="A540" s="12"/>
    </row>
    <row r="541" spans="1:1" ht="15.05">
      <c r="A541" s="12"/>
    </row>
    <row r="542" spans="1:1" ht="15.05">
      <c r="A542" s="12"/>
    </row>
    <row r="543" spans="1:1" ht="15.05">
      <c r="A543" s="12"/>
    </row>
    <row r="544" spans="1:1" ht="15.05">
      <c r="A544" s="12"/>
    </row>
    <row r="545" spans="1:1" ht="15.05">
      <c r="A545" s="12"/>
    </row>
    <row r="546" spans="1:1" ht="15.05">
      <c r="A546" s="12"/>
    </row>
    <row r="547" spans="1:1" ht="15.05">
      <c r="A547" s="12"/>
    </row>
    <row r="548" spans="1:1" ht="15.05">
      <c r="A548" s="12"/>
    </row>
    <row r="549" spans="1:1" ht="15.05">
      <c r="A549" s="12"/>
    </row>
    <row r="550" spans="1:1" ht="15.05">
      <c r="A550" s="12"/>
    </row>
    <row r="551" spans="1:1" ht="15.05">
      <c r="A551" s="12"/>
    </row>
    <row r="552" spans="1:1" ht="15.05">
      <c r="A552" s="12"/>
    </row>
    <row r="553" spans="1:1" ht="15.05">
      <c r="A553" s="12"/>
    </row>
    <row r="554" spans="1:1" ht="15.05">
      <c r="A554" s="12"/>
    </row>
    <row r="555" spans="1:1" ht="15.05">
      <c r="A555" s="12"/>
    </row>
    <row r="556" spans="1:1" ht="15.05">
      <c r="A556" s="12"/>
    </row>
    <row r="557" spans="1:1" ht="15.05">
      <c r="A557" s="12"/>
    </row>
    <row r="558" spans="1:1" ht="15.05">
      <c r="A558" s="12"/>
    </row>
    <row r="559" spans="1:1" ht="15.05">
      <c r="A559" s="12"/>
    </row>
    <row r="560" spans="1:1" ht="15.05">
      <c r="A560" s="12"/>
    </row>
    <row r="561" spans="1:1" ht="15.05">
      <c r="A561" s="12"/>
    </row>
    <row r="562" spans="1:1" ht="15.05">
      <c r="A562" s="12"/>
    </row>
    <row r="563" spans="1:1" ht="15.05">
      <c r="A563" s="12"/>
    </row>
    <row r="564" spans="1:1" ht="15.05">
      <c r="A564" s="12"/>
    </row>
    <row r="565" spans="1:1" ht="15.05">
      <c r="A565" s="12"/>
    </row>
    <row r="566" spans="1:1" ht="15.05">
      <c r="A566" s="12"/>
    </row>
    <row r="567" spans="1:1" ht="15.05">
      <c r="A567" s="12"/>
    </row>
    <row r="568" spans="1:1" ht="15.05">
      <c r="A568" s="12"/>
    </row>
    <row r="569" spans="1:1" ht="15.05">
      <c r="A569" s="12"/>
    </row>
    <row r="570" spans="1:1" ht="15.05">
      <c r="A570" s="12"/>
    </row>
    <row r="571" spans="1:1" ht="15.05">
      <c r="A571" s="12"/>
    </row>
    <row r="572" spans="1:1" ht="15.05">
      <c r="A572" s="12"/>
    </row>
    <row r="573" spans="1:1" ht="15.05">
      <c r="A573" s="12"/>
    </row>
    <row r="574" spans="1:1" ht="15.05">
      <c r="A574" s="12"/>
    </row>
    <row r="575" spans="1:1" ht="15.05">
      <c r="A575" s="12"/>
    </row>
    <row r="576" spans="1:1" ht="15.05">
      <c r="A576" s="12"/>
    </row>
    <row r="577" spans="1:1" ht="15.05">
      <c r="A577" s="12"/>
    </row>
    <row r="578" spans="1:1" ht="15.05">
      <c r="A578" s="12"/>
    </row>
    <row r="579" spans="1:1" ht="15.05">
      <c r="A579" s="12"/>
    </row>
    <row r="580" spans="1:1" ht="15.05">
      <c r="A580" s="12"/>
    </row>
    <row r="581" spans="1:1" ht="15.05">
      <c r="A581" s="12"/>
    </row>
    <row r="582" spans="1:1" ht="15.05">
      <c r="A582" s="12"/>
    </row>
    <row r="583" spans="1:1" ht="15.05">
      <c r="A583" s="12"/>
    </row>
    <row r="584" spans="1:1" ht="15.05">
      <c r="A584" s="12"/>
    </row>
    <row r="585" spans="1:1" ht="15.05">
      <c r="A585" s="12"/>
    </row>
    <row r="586" spans="1:1" ht="15.05">
      <c r="A586" s="12"/>
    </row>
    <row r="587" spans="1:1" ht="15.05">
      <c r="A587" s="12"/>
    </row>
    <row r="588" spans="1:1" ht="15.05">
      <c r="A588" s="12"/>
    </row>
    <row r="589" spans="1:1" ht="15.05">
      <c r="A589" s="12"/>
    </row>
    <row r="590" spans="1:1" ht="15.05">
      <c r="A590" s="12"/>
    </row>
    <row r="591" spans="1:1" ht="15.05">
      <c r="A591" s="12"/>
    </row>
    <row r="592" spans="1:1" ht="15.05">
      <c r="A592" s="12"/>
    </row>
    <row r="593" spans="1:1" ht="15.05">
      <c r="A593" s="12"/>
    </row>
    <row r="594" spans="1:1" ht="15.05">
      <c r="A594" s="12"/>
    </row>
    <row r="595" spans="1:1" ht="15.05">
      <c r="A595" s="12"/>
    </row>
    <row r="596" spans="1:1" ht="15.05">
      <c r="A596" s="12"/>
    </row>
    <row r="597" spans="1:1" ht="15.05">
      <c r="A597" s="12"/>
    </row>
    <row r="598" spans="1:1" ht="15.05">
      <c r="A598" s="12"/>
    </row>
    <row r="599" spans="1:1" ht="15.05">
      <c r="A599" s="12"/>
    </row>
    <row r="600" spans="1:1" ht="15.05">
      <c r="A600" s="12"/>
    </row>
    <row r="601" spans="1:1" ht="15.05">
      <c r="A601" s="12"/>
    </row>
    <row r="602" spans="1:1" ht="15.05">
      <c r="A602" s="12"/>
    </row>
    <row r="603" spans="1:1" ht="15.05">
      <c r="A603" s="12"/>
    </row>
    <row r="604" spans="1:1" ht="15.05">
      <c r="A604" s="12"/>
    </row>
    <row r="605" spans="1:1" ht="15.05">
      <c r="A605" s="12"/>
    </row>
    <row r="606" spans="1:1" ht="15.05">
      <c r="A606" s="12"/>
    </row>
    <row r="607" spans="1:1" ht="15.05">
      <c r="A607" s="12"/>
    </row>
    <row r="608" spans="1:1" ht="15.05">
      <c r="A608" s="12"/>
    </row>
    <row r="609" spans="1:1" ht="15.05">
      <c r="A609" s="12"/>
    </row>
    <row r="610" spans="1:1" ht="15.05">
      <c r="A610" s="12"/>
    </row>
    <row r="611" spans="1:1" ht="15.05">
      <c r="A611" s="12"/>
    </row>
    <row r="612" spans="1:1" ht="15.05">
      <c r="A612" s="12"/>
    </row>
    <row r="613" spans="1:1" ht="15.05">
      <c r="A613" s="12"/>
    </row>
    <row r="614" spans="1:1" ht="15.05">
      <c r="A614" s="12"/>
    </row>
    <row r="615" spans="1:1" ht="15.05">
      <c r="A615" s="12"/>
    </row>
    <row r="616" spans="1:1" ht="15.05">
      <c r="A616" s="12"/>
    </row>
    <row r="617" spans="1:1" ht="15.05">
      <c r="A617" s="12"/>
    </row>
    <row r="618" spans="1:1" ht="15.05">
      <c r="A618" s="12"/>
    </row>
    <row r="619" spans="1:1" ht="15.05">
      <c r="A619" s="12"/>
    </row>
    <row r="620" spans="1:1" ht="15.05">
      <c r="A620" s="12"/>
    </row>
    <row r="621" spans="1:1" ht="15.05">
      <c r="A621" s="12"/>
    </row>
    <row r="622" spans="1:1" ht="15.05">
      <c r="A622" s="12"/>
    </row>
    <row r="623" spans="1:1" ht="15.05">
      <c r="A623" s="12"/>
    </row>
    <row r="624" spans="1:1" ht="15.05">
      <c r="A624" s="12"/>
    </row>
    <row r="625" spans="1:1" ht="15.05">
      <c r="A625" s="12"/>
    </row>
    <row r="626" spans="1:1" ht="15.05">
      <c r="A626" s="12"/>
    </row>
    <row r="627" spans="1:1" ht="15.05">
      <c r="A627" s="12"/>
    </row>
    <row r="628" spans="1:1" ht="15.05">
      <c r="A628" s="12"/>
    </row>
    <row r="629" spans="1:1" ht="15.05">
      <c r="A629" s="12"/>
    </row>
    <row r="630" spans="1:1" ht="15.05">
      <c r="A630" s="12"/>
    </row>
    <row r="631" spans="1:1" ht="15.05">
      <c r="A631" s="12"/>
    </row>
    <row r="632" spans="1:1" ht="15.05">
      <c r="A632" s="12"/>
    </row>
    <row r="633" spans="1:1" ht="15.05">
      <c r="A633" s="12"/>
    </row>
    <row r="634" spans="1:1" ht="15.05">
      <c r="A634" s="12"/>
    </row>
    <row r="635" spans="1:1" ht="15.05">
      <c r="A635" s="12"/>
    </row>
    <row r="636" spans="1:1" ht="15.05">
      <c r="A636" s="12"/>
    </row>
    <row r="637" spans="1:1" ht="15.05">
      <c r="A637" s="12"/>
    </row>
    <row r="638" spans="1:1" ht="15.05">
      <c r="A638" s="12"/>
    </row>
    <row r="639" spans="1:1" ht="15.05">
      <c r="A639" s="12"/>
    </row>
    <row r="640" spans="1:1" ht="15.05">
      <c r="A640" s="12"/>
    </row>
    <row r="641" spans="1:1" ht="15.05">
      <c r="A641" s="12"/>
    </row>
    <row r="642" spans="1:1" ht="15.05">
      <c r="A642" s="12"/>
    </row>
    <row r="643" spans="1:1" ht="15.05">
      <c r="A643" s="12"/>
    </row>
    <row r="644" spans="1:1" ht="15.05">
      <c r="A644" s="12"/>
    </row>
    <row r="645" spans="1:1" ht="15.05">
      <c r="A645" s="12"/>
    </row>
    <row r="646" spans="1:1" ht="15.05">
      <c r="A646" s="12"/>
    </row>
    <row r="647" spans="1:1" ht="15.05">
      <c r="A647" s="12"/>
    </row>
    <row r="648" spans="1:1" ht="15.05">
      <c r="A648" s="12"/>
    </row>
    <row r="649" spans="1:1" ht="15.05">
      <c r="A649" s="12"/>
    </row>
    <row r="650" spans="1:1" ht="15.05">
      <c r="A650" s="12"/>
    </row>
    <row r="651" spans="1:1" ht="15.05">
      <c r="A651" s="12"/>
    </row>
    <row r="652" spans="1:1" ht="15.05">
      <c r="A652" s="12"/>
    </row>
    <row r="653" spans="1:1" ht="15.05">
      <c r="A653" s="12"/>
    </row>
    <row r="654" spans="1:1" ht="15.05">
      <c r="A654" s="12"/>
    </row>
    <row r="655" spans="1:1" ht="15.05">
      <c r="A655" s="12"/>
    </row>
    <row r="656" spans="1:1" ht="15.05">
      <c r="A656" s="12"/>
    </row>
    <row r="657" spans="1:1" ht="15.05">
      <c r="A657" s="12"/>
    </row>
    <row r="658" spans="1:1" ht="15.05">
      <c r="A658" s="12"/>
    </row>
    <row r="659" spans="1:1" ht="15.05">
      <c r="A659" s="12"/>
    </row>
    <row r="660" spans="1:1" ht="15.05">
      <c r="A660" s="12"/>
    </row>
    <row r="661" spans="1:1" ht="15.05">
      <c r="A661" s="12"/>
    </row>
    <row r="662" spans="1:1" ht="15.05">
      <c r="A662" s="12"/>
    </row>
    <row r="663" spans="1:1" ht="15.05">
      <c r="A663" s="12"/>
    </row>
    <row r="664" spans="1:1" ht="15.05">
      <c r="A664" s="12"/>
    </row>
    <row r="665" spans="1:1" ht="15.05">
      <c r="A665" s="12"/>
    </row>
    <row r="666" spans="1:1" ht="15.05">
      <c r="A666" s="12"/>
    </row>
    <row r="667" spans="1:1" ht="15.05">
      <c r="A667" s="12"/>
    </row>
    <row r="668" spans="1:1" ht="15.05">
      <c r="A668" s="12"/>
    </row>
    <row r="669" spans="1:1" ht="15.05">
      <c r="A669" s="12"/>
    </row>
    <row r="670" spans="1:1" ht="15.05">
      <c r="A670" s="12"/>
    </row>
    <row r="671" spans="1:1" ht="15.05">
      <c r="A671" s="12"/>
    </row>
    <row r="672" spans="1:1" ht="15.05">
      <c r="A672" s="12"/>
    </row>
    <row r="673" spans="1:1" ht="15.05">
      <c r="A673" s="12"/>
    </row>
    <row r="674" spans="1:1" ht="15.05">
      <c r="A674" s="12"/>
    </row>
    <row r="675" spans="1:1" ht="15.05">
      <c r="A675" s="12"/>
    </row>
    <row r="676" spans="1:1" ht="15.05">
      <c r="A676" s="12"/>
    </row>
    <row r="677" spans="1:1" ht="15.05">
      <c r="A677" s="12"/>
    </row>
    <row r="678" spans="1:1" ht="15.05">
      <c r="A678" s="12"/>
    </row>
    <row r="679" spans="1:1" ht="15.05">
      <c r="A679" s="12"/>
    </row>
    <row r="680" spans="1:1" ht="15.05">
      <c r="A680" s="12"/>
    </row>
    <row r="681" spans="1:1" ht="15.05">
      <c r="A681" s="12"/>
    </row>
    <row r="682" spans="1:1" ht="15.05">
      <c r="A682" s="12"/>
    </row>
    <row r="683" spans="1:1" ht="15.05">
      <c r="A683" s="12"/>
    </row>
    <row r="684" spans="1:1" ht="15.05">
      <c r="A684" s="12"/>
    </row>
    <row r="685" spans="1:1" ht="15.05">
      <c r="A685" s="12"/>
    </row>
    <row r="686" spans="1:1" ht="15.05">
      <c r="A686" s="12"/>
    </row>
    <row r="687" spans="1:1" ht="15.05">
      <c r="A687" s="12"/>
    </row>
    <row r="688" spans="1:1" ht="15.05">
      <c r="A688" s="12"/>
    </row>
    <row r="689" spans="1:1" ht="15.05">
      <c r="A689" s="12"/>
    </row>
    <row r="690" spans="1:1" ht="15.05">
      <c r="A690" s="12"/>
    </row>
    <row r="691" spans="1:1" ht="15.05">
      <c r="A691" s="12"/>
    </row>
    <row r="692" spans="1:1" ht="15.05">
      <c r="A692" s="12"/>
    </row>
    <row r="693" spans="1:1" ht="15.05">
      <c r="A693" s="12"/>
    </row>
    <row r="694" spans="1:1" ht="15.05">
      <c r="A694" s="12"/>
    </row>
    <row r="695" spans="1:1" ht="15.05">
      <c r="A695" s="12"/>
    </row>
    <row r="696" spans="1:1" ht="15.05">
      <c r="A696" s="12"/>
    </row>
    <row r="697" spans="1:1" ht="15.05">
      <c r="A697" s="12"/>
    </row>
    <row r="698" spans="1:1" ht="15.05">
      <c r="A698" s="12"/>
    </row>
    <row r="699" spans="1:1" ht="15.05">
      <c r="A699" s="12"/>
    </row>
    <row r="700" spans="1:1" ht="15.05">
      <c r="A700" s="12"/>
    </row>
    <row r="701" spans="1:1" ht="15.05">
      <c r="A701" s="12"/>
    </row>
    <row r="702" spans="1:1" ht="15.05">
      <c r="A702" s="12"/>
    </row>
    <row r="703" spans="1:1" ht="15.05">
      <c r="A703" s="12"/>
    </row>
    <row r="704" spans="1:1" ht="15.05">
      <c r="A704" s="12"/>
    </row>
    <row r="705" spans="1:1" ht="15.05">
      <c r="A705" s="12"/>
    </row>
    <row r="706" spans="1:1" ht="15.05">
      <c r="A706" s="12"/>
    </row>
    <row r="707" spans="1:1" ht="15.05">
      <c r="A707" s="12"/>
    </row>
    <row r="708" spans="1:1" ht="15.05">
      <c r="A708" s="12"/>
    </row>
    <row r="709" spans="1:1" ht="15.05">
      <c r="A709" s="12"/>
    </row>
    <row r="710" spans="1:1" ht="15.05">
      <c r="A710" s="12"/>
    </row>
    <row r="711" spans="1:1" ht="15.05">
      <c r="A711" s="12"/>
    </row>
    <row r="712" spans="1:1" ht="15.05">
      <c r="A712" s="12"/>
    </row>
    <row r="713" spans="1:1" ht="15.05">
      <c r="A713" s="12"/>
    </row>
    <row r="714" spans="1:1" ht="15.05">
      <c r="A714" s="12"/>
    </row>
    <row r="715" spans="1:1" ht="15.05">
      <c r="A715" s="12"/>
    </row>
    <row r="716" spans="1:1" ht="15.05">
      <c r="A716" s="12"/>
    </row>
    <row r="717" spans="1:1" ht="15.05">
      <c r="A717" s="12"/>
    </row>
    <row r="718" spans="1:1" ht="15.05">
      <c r="A718" s="12"/>
    </row>
    <row r="719" spans="1:1" ht="15.05">
      <c r="A719" s="12"/>
    </row>
    <row r="720" spans="1:1" ht="15.05">
      <c r="A720" s="12"/>
    </row>
    <row r="721" spans="1:1" ht="15.05">
      <c r="A721" s="12"/>
    </row>
    <row r="722" spans="1:1" ht="15.05">
      <c r="A722" s="12"/>
    </row>
    <row r="723" spans="1:1" ht="15.05">
      <c r="A723" s="12"/>
    </row>
    <row r="724" spans="1:1" ht="15.05">
      <c r="A724" s="12"/>
    </row>
    <row r="725" spans="1:1" ht="15.05">
      <c r="A725" s="12"/>
    </row>
    <row r="726" spans="1:1" ht="15.05">
      <c r="A726" s="12"/>
    </row>
    <row r="727" spans="1:1" ht="15.05">
      <c r="A727" s="12"/>
    </row>
    <row r="728" spans="1:1" ht="15.05">
      <c r="A728" s="12"/>
    </row>
    <row r="729" spans="1:1" ht="15.05">
      <c r="A729" s="12"/>
    </row>
    <row r="730" spans="1:1" ht="15.05">
      <c r="A730" s="12"/>
    </row>
    <row r="731" spans="1:1" ht="15.05">
      <c r="A731" s="12"/>
    </row>
    <row r="732" spans="1:1" ht="15.05">
      <c r="A732" s="12"/>
    </row>
    <row r="733" spans="1:1" ht="15.05">
      <c r="A733" s="12"/>
    </row>
    <row r="734" spans="1:1" ht="15.05">
      <c r="A734" s="12"/>
    </row>
    <row r="735" spans="1:1" ht="15.05">
      <c r="A735" s="12"/>
    </row>
    <row r="736" spans="1:1" ht="15.05">
      <c r="A736" s="12"/>
    </row>
    <row r="737" spans="1:1" ht="15.05">
      <c r="A737" s="12"/>
    </row>
    <row r="738" spans="1:1" ht="15.05">
      <c r="A738" s="12"/>
    </row>
    <row r="739" spans="1:1" ht="15.05">
      <c r="A739" s="12"/>
    </row>
    <row r="740" spans="1:1" ht="15.05">
      <c r="A740" s="12"/>
    </row>
    <row r="741" spans="1:1" ht="15.05">
      <c r="A741" s="12"/>
    </row>
    <row r="742" spans="1:1" ht="15.05">
      <c r="A742" s="12"/>
    </row>
    <row r="743" spans="1:1" ht="15.05">
      <c r="A743" s="12"/>
    </row>
    <row r="744" spans="1:1" ht="15.05">
      <c r="A744" s="12"/>
    </row>
    <row r="745" spans="1:1" ht="15.05">
      <c r="A745" s="12"/>
    </row>
    <row r="746" spans="1:1" ht="15.05">
      <c r="A746" s="12"/>
    </row>
    <row r="747" spans="1:1" ht="15.05">
      <c r="A747" s="12"/>
    </row>
    <row r="748" spans="1:1" ht="15.05">
      <c r="A748" s="12"/>
    </row>
    <row r="749" spans="1:1" ht="15.05">
      <c r="A749" s="12"/>
    </row>
    <row r="750" spans="1:1" ht="15.05">
      <c r="A750" s="12"/>
    </row>
    <row r="751" spans="1:1" ht="15.05">
      <c r="A751" s="12"/>
    </row>
    <row r="752" spans="1:1" ht="15.05">
      <c r="A752" s="12"/>
    </row>
    <row r="753" spans="1:1" ht="15.05">
      <c r="A753" s="12"/>
    </row>
    <row r="754" spans="1:1" ht="15.05">
      <c r="A754" s="12"/>
    </row>
    <row r="755" spans="1:1" ht="15.05">
      <c r="A755" s="12"/>
    </row>
    <row r="756" spans="1:1" ht="15.05">
      <c r="A756" s="12"/>
    </row>
    <row r="757" spans="1:1" ht="15.05">
      <c r="A757" s="12"/>
    </row>
    <row r="758" spans="1:1" ht="15.05">
      <c r="A758" s="12"/>
    </row>
    <row r="759" spans="1:1" ht="15.05">
      <c r="A759" s="12"/>
    </row>
    <row r="760" spans="1:1" ht="15.05">
      <c r="A760" s="12"/>
    </row>
    <row r="761" spans="1:1" ht="15.05">
      <c r="A761" s="12"/>
    </row>
    <row r="762" spans="1:1" ht="15.05">
      <c r="A762" s="12"/>
    </row>
    <row r="763" spans="1:1" ht="15.05">
      <c r="A763" s="12"/>
    </row>
    <row r="764" spans="1:1" ht="15.05">
      <c r="A764" s="12"/>
    </row>
    <row r="765" spans="1:1" ht="15.05">
      <c r="A765" s="12"/>
    </row>
    <row r="766" spans="1:1" ht="15.05">
      <c r="A766" s="12"/>
    </row>
    <row r="767" spans="1:1" ht="15.05">
      <c r="A767" s="12"/>
    </row>
    <row r="768" spans="1:1" ht="15.05">
      <c r="A768" s="12"/>
    </row>
    <row r="769" spans="1:1" ht="15.05">
      <c r="A769" s="12"/>
    </row>
    <row r="770" spans="1:1" ht="15.05">
      <c r="A770" s="12"/>
    </row>
    <row r="771" spans="1:1" ht="15.05">
      <c r="A771" s="12"/>
    </row>
    <row r="772" spans="1:1" ht="15.05">
      <c r="A772" s="12"/>
    </row>
    <row r="773" spans="1:1" ht="15.05">
      <c r="A773" s="12"/>
    </row>
    <row r="774" spans="1:1" ht="15.05">
      <c r="A774" s="12"/>
    </row>
    <row r="775" spans="1:1" ht="15.05">
      <c r="A775" s="12"/>
    </row>
    <row r="776" spans="1:1" ht="15.05">
      <c r="A776" s="12"/>
    </row>
    <row r="777" spans="1:1" ht="15.05">
      <c r="A777" s="12"/>
    </row>
    <row r="778" spans="1:1" ht="15.05">
      <c r="A778" s="12"/>
    </row>
    <row r="779" spans="1:1" ht="15.05">
      <c r="A779" s="12"/>
    </row>
    <row r="780" spans="1:1" ht="15.05">
      <c r="A780" s="12"/>
    </row>
    <row r="781" spans="1:1" ht="15.05">
      <c r="A781" s="12"/>
    </row>
    <row r="782" spans="1:1" ht="15.05">
      <c r="A782" s="12"/>
    </row>
    <row r="783" spans="1:1" ht="15.05">
      <c r="A783" s="12"/>
    </row>
    <row r="784" spans="1:1" ht="15.05">
      <c r="A784" s="12"/>
    </row>
    <row r="785" spans="1:1" ht="15.05">
      <c r="A785" s="12"/>
    </row>
    <row r="786" spans="1:1" ht="15.05">
      <c r="A786" s="12"/>
    </row>
    <row r="787" spans="1:1" ht="15.05">
      <c r="A787" s="12"/>
    </row>
    <row r="788" spans="1:1" ht="15.05">
      <c r="A788" s="12"/>
    </row>
    <row r="789" spans="1:1" ht="15.05">
      <c r="A789" s="12"/>
    </row>
    <row r="790" spans="1:1" ht="15.05">
      <c r="A790" s="12"/>
    </row>
    <row r="791" spans="1:1" ht="15.05">
      <c r="A791" s="12"/>
    </row>
    <row r="792" spans="1:1" ht="15.05">
      <c r="A792" s="12"/>
    </row>
    <row r="793" spans="1:1" ht="15.05">
      <c r="A793" s="12"/>
    </row>
    <row r="794" spans="1:1" ht="15.05">
      <c r="A794" s="12"/>
    </row>
    <row r="795" spans="1:1" ht="15.05">
      <c r="A795" s="12"/>
    </row>
    <row r="796" spans="1:1" ht="15.05">
      <c r="A796" s="12"/>
    </row>
    <row r="797" spans="1:1" ht="15.05">
      <c r="A797" s="12"/>
    </row>
    <row r="798" spans="1:1" ht="15.05">
      <c r="A798" s="12"/>
    </row>
    <row r="799" spans="1:1" ht="15.05">
      <c r="A799" s="12"/>
    </row>
    <row r="800" spans="1:1" ht="15.05">
      <c r="A800" s="12"/>
    </row>
    <row r="801" spans="1:1" ht="15.05">
      <c r="A801" s="12"/>
    </row>
    <row r="802" spans="1:1" ht="15.05">
      <c r="A802" s="12"/>
    </row>
    <row r="803" spans="1:1" ht="15.05">
      <c r="A803" s="12"/>
    </row>
    <row r="804" spans="1:1" ht="15.05">
      <c r="A804" s="12"/>
    </row>
    <row r="805" spans="1:1" ht="15.05">
      <c r="A805" s="12"/>
    </row>
    <row r="806" spans="1:1" ht="15.05">
      <c r="A806" s="12"/>
    </row>
    <row r="807" spans="1:1" ht="15.05">
      <c r="A807" s="12"/>
    </row>
    <row r="808" spans="1:1" ht="15.05">
      <c r="A808" s="12"/>
    </row>
    <row r="809" spans="1:1" ht="15.05">
      <c r="A809" s="12"/>
    </row>
    <row r="810" spans="1:1" ht="15.05">
      <c r="A810" s="12"/>
    </row>
    <row r="811" spans="1:1" ht="15.05">
      <c r="A811" s="12"/>
    </row>
    <row r="812" spans="1:1" ht="15.05">
      <c r="A812" s="12"/>
    </row>
    <row r="813" spans="1:1" ht="15.05">
      <c r="A813" s="12"/>
    </row>
    <row r="814" spans="1:1" ht="15.05">
      <c r="A814" s="12"/>
    </row>
    <row r="815" spans="1:1" ht="15.05">
      <c r="A815" s="12"/>
    </row>
    <row r="816" spans="1:1" ht="15.05">
      <c r="A816" s="12"/>
    </row>
    <row r="817" spans="1:1" ht="15.05">
      <c r="A817" s="12"/>
    </row>
    <row r="818" spans="1:1" ht="15.05">
      <c r="A818" s="12"/>
    </row>
    <row r="819" spans="1:1" ht="15.05">
      <c r="A819" s="12"/>
    </row>
    <row r="820" spans="1:1" ht="15.05">
      <c r="A820" s="12"/>
    </row>
    <row r="821" spans="1:1" ht="15.05">
      <c r="A821" s="12"/>
    </row>
    <row r="822" spans="1:1" ht="15.05">
      <c r="A822" s="12"/>
    </row>
    <row r="823" spans="1:1" ht="15.05">
      <c r="A823" s="12"/>
    </row>
    <row r="824" spans="1:1" ht="15.05">
      <c r="A824" s="12"/>
    </row>
    <row r="825" spans="1:1" ht="15.05">
      <c r="A825" s="12"/>
    </row>
    <row r="826" spans="1:1" ht="15.05">
      <c r="A826" s="12"/>
    </row>
    <row r="827" spans="1:1" ht="15.05">
      <c r="A827" s="12"/>
    </row>
    <row r="828" spans="1:1" ht="15.05">
      <c r="A828" s="12"/>
    </row>
    <row r="829" spans="1:1" ht="15.05">
      <c r="A829" s="12"/>
    </row>
    <row r="830" spans="1:1" ht="15.05">
      <c r="A830" s="12"/>
    </row>
    <row r="831" spans="1:1" ht="15.05">
      <c r="A831" s="12"/>
    </row>
    <row r="832" spans="1:1" ht="15.05">
      <c r="A832" s="12"/>
    </row>
    <row r="833" spans="1:1" ht="15.05">
      <c r="A833" s="12"/>
    </row>
    <row r="834" spans="1:1" ht="15.05">
      <c r="A834" s="12"/>
    </row>
    <row r="835" spans="1:1" ht="15.05">
      <c r="A835" s="12"/>
    </row>
    <row r="836" spans="1:1" ht="15.05">
      <c r="A836" s="12"/>
    </row>
    <row r="837" spans="1:1" ht="15.05">
      <c r="A837" s="12"/>
    </row>
    <row r="838" spans="1:1" ht="15.05">
      <c r="A838" s="12"/>
    </row>
    <row r="839" spans="1:1" ht="15.05">
      <c r="A839" s="12"/>
    </row>
    <row r="840" spans="1:1" ht="15.05">
      <c r="A840" s="12"/>
    </row>
    <row r="841" spans="1:1" ht="15.05">
      <c r="A841" s="12"/>
    </row>
    <row r="842" spans="1:1" ht="15.05">
      <c r="A842" s="12"/>
    </row>
    <row r="843" spans="1:1" ht="15.05">
      <c r="A843" s="12"/>
    </row>
    <row r="844" spans="1:1" ht="15.05">
      <c r="A844" s="12"/>
    </row>
    <row r="845" spans="1:1" ht="15.05">
      <c r="A845" s="12"/>
    </row>
    <row r="846" spans="1:1" ht="15.05">
      <c r="A846" s="12"/>
    </row>
    <row r="847" spans="1:1" ht="15.05">
      <c r="A847" s="12"/>
    </row>
    <row r="848" spans="1:1" ht="15.05">
      <c r="A848" s="12"/>
    </row>
    <row r="849" spans="1:1" ht="15.05">
      <c r="A849" s="12"/>
    </row>
    <row r="850" spans="1:1" ht="15.05">
      <c r="A850" s="12"/>
    </row>
    <row r="851" spans="1:1" ht="15.05">
      <c r="A851" s="12"/>
    </row>
    <row r="852" spans="1:1" ht="15.05">
      <c r="A852" s="12"/>
    </row>
    <row r="853" spans="1:1" ht="15.05">
      <c r="A853" s="12"/>
    </row>
    <row r="854" spans="1:1" ht="15.05">
      <c r="A854" s="12"/>
    </row>
    <row r="855" spans="1:1" ht="15.05">
      <c r="A855" s="12"/>
    </row>
    <row r="856" spans="1:1" ht="15.05">
      <c r="A856" s="12"/>
    </row>
    <row r="857" spans="1:1" ht="15.05">
      <c r="A857" s="12"/>
    </row>
    <row r="858" spans="1:1" ht="15.05">
      <c r="A858" s="12"/>
    </row>
    <row r="859" spans="1:1" ht="15.05">
      <c r="A859" s="12"/>
    </row>
    <row r="860" spans="1:1" ht="15.05">
      <c r="A860" s="12"/>
    </row>
    <row r="861" spans="1:1" ht="15.05">
      <c r="A861" s="12"/>
    </row>
    <row r="862" spans="1:1" ht="15.05">
      <c r="A862" s="12"/>
    </row>
    <row r="863" spans="1:1" ht="15.05">
      <c r="A863" s="12"/>
    </row>
    <row r="864" spans="1:1" ht="15.05">
      <c r="A864" s="12"/>
    </row>
    <row r="865" spans="1:1" ht="15.05">
      <c r="A865" s="12"/>
    </row>
    <row r="866" spans="1:1" ht="15.05">
      <c r="A866" s="12"/>
    </row>
    <row r="867" spans="1:1" ht="15.05">
      <c r="A867" s="12"/>
    </row>
    <row r="868" spans="1:1" ht="15.05">
      <c r="A868" s="12"/>
    </row>
    <row r="869" spans="1:1" ht="15.05">
      <c r="A869" s="12"/>
    </row>
    <row r="870" spans="1:1" ht="15.05">
      <c r="A870" s="12"/>
    </row>
    <row r="871" spans="1:1" ht="15.05">
      <c r="A871" s="12"/>
    </row>
    <row r="872" spans="1:1" ht="15.05">
      <c r="A872" s="12"/>
    </row>
    <row r="873" spans="1:1" ht="15.05">
      <c r="A873" s="12"/>
    </row>
    <row r="874" spans="1:1" ht="15.05">
      <c r="A874" s="12"/>
    </row>
    <row r="875" spans="1:1" ht="15.05">
      <c r="A875" s="12"/>
    </row>
    <row r="876" spans="1:1" ht="15.05">
      <c r="A876" s="12"/>
    </row>
    <row r="877" spans="1:1" ht="15.05">
      <c r="A877" s="12"/>
    </row>
    <row r="878" spans="1:1" ht="15.05">
      <c r="A878" s="12"/>
    </row>
    <row r="879" spans="1:1" ht="15.05">
      <c r="A879" s="12"/>
    </row>
    <row r="880" spans="1:1" ht="15.05">
      <c r="A880" s="12"/>
    </row>
    <row r="881" spans="1:1" ht="15.05">
      <c r="A881" s="12"/>
    </row>
    <row r="882" spans="1:1" ht="15.05">
      <c r="A882" s="12"/>
    </row>
    <row r="883" spans="1:1" ht="15.05">
      <c r="A883" s="12"/>
    </row>
    <row r="884" spans="1:1" ht="15.05">
      <c r="A884" s="12"/>
    </row>
    <row r="885" spans="1:1" ht="15.05">
      <c r="A885" s="12"/>
    </row>
    <row r="886" spans="1:1" ht="15.05">
      <c r="A886" s="12"/>
    </row>
    <row r="887" spans="1:1" ht="15.05">
      <c r="A887" s="12"/>
    </row>
    <row r="888" spans="1:1" ht="15.05">
      <c r="A888" s="12"/>
    </row>
    <row r="889" spans="1:1" ht="15.05">
      <c r="A889" s="12"/>
    </row>
    <row r="890" spans="1:1" ht="15.05">
      <c r="A890" s="12"/>
    </row>
    <row r="891" spans="1:1" ht="15.05">
      <c r="A891" s="12"/>
    </row>
    <row r="892" spans="1:1" ht="15.05">
      <c r="A892" s="12"/>
    </row>
    <row r="893" spans="1:1" ht="15.05">
      <c r="A893" s="12"/>
    </row>
    <row r="894" spans="1:1" ht="15.05">
      <c r="A894" s="12"/>
    </row>
    <row r="895" spans="1:1" ht="15.05">
      <c r="A895" s="12"/>
    </row>
    <row r="896" spans="1:1" ht="15.05">
      <c r="A896" s="12"/>
    </row>
    <row r="897" spans="1:1" ht="15.05">
      <c r="A897" s="12"/>
    </row>
    <row r="898" spans="1:1" ht="15.05">
      <c r="A898" s="12"/>
    </row>
    <row r="899" spans="1:1" ht="15.05">
      <c r="A899" s="12"/>
    </row>
    <row r="900" spans="1:1" ht="15.05">
      <c r="A900" s="12"/>
    </row>
    <row r="901" spans="1:1" ht="15.05">
      <c r="A901" s="12"/>
    </row>
    <row r="902" spans="1:1" ht="15.05">
      <c r="A902" s="12"/>
    </row>
    <row r="903" spans="1:1" ht="15.05">
      <c r="A903" s="12"/>
    </row>
    <row r="904" spans="1:1" ht="15.05">
      <c r="A904" s="12"/>
    </row>
    <row r="905" spans="1:1" ht="15.05">
      <c r="A905" s="12"/>
    </row>
    <row r="906" spans="1:1" ht="15.05">
      <c r="A906" s="12"/>
    </row>
    <row r="907" spans="1:1" ht="15.05">
      <c r="A907" s="12"/>
    </row>
    <row r="908" spans="1:1" ht="15.05">
      <c r="A908" s="12"/>
    </row>
    <row r="909" spans="1:1" ht="15.05">
      <c r="A909" s="12"/>
    </row>
    <row r="910" spans="1:1" ht="15.05">
      <c r="A910" s="12"/>
    </row>
    <row r="911" spans="1:1" ht="15.05">
      <c r="A911" s="12"/>
    </row>
    <row r="912" spans="1:1" ht="15.05">
      <c r="A912" s="12"/>
    </row>
    <row r="913" spans="1:1" ht="15.05">
      <c r="A913" s="12"/>
    </row>
    <row r="914" spans="1:1" ht="15.05">
      <c r="A914" s="12"/>
    </row>
    <row r="915" spans="1:1" ht="15.05">
      <c r="A915" s="12"/>
    </row>
    <row r="916" spans="1:1" ht="15.05">
      <c r="A916" s="12"/>
    </row>
    <row r="917" spans="1:1" ht="15.05">
      <c r="A917" s="12"/>
    </row>
    <row r="918" spans="1:1" ht="15.05">
      <c r="A918" s="12"/>
    </row>
    <row r="919" spans="1:1" ht="15.05">
      <c r="A919" s="12"/>
    </row>
    <row r="920" spans="1:1" ht="15.05">
      <c r="A920" s="12"/>
    </row>
    <row r="921" spans="1:1" ht="15.05">
      <c r="A921" s="12"/>
    </row>
    <row r="922" spans="1:1" ht="15.05">
      <c r="A922" s="12"/>
    </row>
    <row r="923" spans="1:1" ht="15.05">
      <c r="A923" s="12"/>
    </row>
    <row r="924" spans="1:1" ht="15.05">
      <c r="A924" s="12"/>
    </row>
    <row r="925" spans="1:1" ht="15.05">
      <c r="A925" s="12"/>
    </row>
    <row r="926" spans="1:1" ht="15.05">
      <c r="A926" s="12"/>
    </row>
    <row r="927" spans="1:1" ht="15.05">
      <c r="A927" s="12"/>
    </row>
    <row r="928" spans="1:1" ht="15.05">
      <c r="A928" s="12"/>
    </row>
    <row r="929" spans="1:1" ht="15.05">
      <c r="A929" s="12"/>
    </row>
    <row r="930" spans="1:1" ht="15.05">
      <c r="A930" s="12"/>
    </row>
    <row r="931" spans="1:1" ht="15.05">
      <c r="A931" s="12"/>
    </row>
    <row r="932" spans="1:1" ht="15.05">
      <c r="A932" s="12"/>
    </row>
    <row r="933" spans="1:1" ht="15.05">
      <c r="A933" s="12"/>
    </row>
    <row r="934" spans="1:1" ht="15.05">
      <c r="A934" s="12"/>
    </row>
    <row r="935" spans="1:1" ht="15.05">
      <c r="A935" s="12"/>
    </row>
    <row r="936" spans="1:1" ht="15.05">
      <c r="A936" s="12"/>
    </row>
    <row r="937" spans="1:1" ht="15.05">
      <c r="A937" s="12"/>
    </row>
    <row r="938" spans="1:1" ht="15.05">
      <c r="A938" s="12"/>
    </row>
    <row r="939" spans="1:1" ht="15.05">
      <c r="A939" s="12"/>
    </row>
    <row r="940" spans="1:1" ht="15.05">
      <c r="A940" s="12"/>
    </row>
    <row r="941" spans="1:1" ht="15.05">
      <c r="A941" s="12"/>
    </row>
    <row r="942" spans="1:1" ht="15.05">
      <c r="A942" s="12"/>
    </row>
    <row r="943" spans="1:1" ht="15.05">
      <c r="A943" s="12"/>
    </row>
    <row r="944" spans="1:1" ht="15.05">
      <c r="A944" s="12"/>
    </row>
    <row r="945" spans="1:1" ht="15.05">
      <c r="A945" s="12"/>
    </row>
    <row r="946" spans="1:1" ht="15.05">
      <c r="A946" s="12"/>
    </row>
    <row r="947" spans="1:1" ht="15.05">
      <c r="A947" s="12"/>
    </row>
    <row r="948" spans="1:1" ht="15.05">
      <c r="A948" s="12"/>
    </row>
    <row r="949" spans="1:1" ht="15.05">
      <c r="A949" s="12"/>
    </row>
    <row r="950" spans="1:1" ht="15.05">
      <c r="A950" s="12"/>
    </row>
    <row r="951" spans="1:1" ht="15.05">
      <c r="A951" s="12"/>
    </row>
    <row r="952" spans="1:1" ht="15.05">
      <c r="A952" s="12"/>
    </row>
    <row r="953" spans="1:1" ht="15.05">
      <c r="A953" s="12"/>
    </row>
    <row r="954" spans="1:1" ht="15.05">
      <c r="A954" s="12"/>
    </row>
    <row r="955" spans="1:1" ht="15.05">
      <c r="A955" s="12"/>
    </row>
    <row r="956" spans="1:1" ht="15.05">
      <c r="A956" s="12"/>
    </row>
    <row r="957" spans="1:1" ht="15.05">
      <c r="A957" s="12"/>
    </row>
    <row r="958" spans="1:1" ht="15.05">
      <c r="A958" s="12"/>
    </row>
    <row r="959" spans="1:1" ht="15.05">
      <c r="A959" s="12"/>
    </row>
    <row r="960" spans="1:1" ht="15.05">
      <c r="A960" s="12"/>
    </row>
    <row r="961" spans="1:1" ht="15.05">
      <c r="A961" s="12"/>
    </row>
    <row r="962" spans="1:1" ht="15.05">
      <c r="A962" s="12"/>
    </row>
    <row r="963" spans="1:1" ht="15.05">
      <c r="A963" s="12"/>
    </row>
    <row r="964" spans="1:1" ht="15.05">
      <c r="A964" s="12"/>
    </row>
    <row r="965" spans="1:1" ht="15.05">
      <c r="A965" s="12"/>
    </row>
    <row r="966" spans="1:1" ht="15.05">
      <c r="A966" s="12"/>
    </row>
    <row r="967" spans="1:1" ht="15.05">
      <c r="A967" s="12"/>
    </row>
    <row r="968" spans="1:1" ht="15.05">
      <c r="A968" s="12"/>
    </row>
    <row r="969" spans="1:1" ht="15.05">
      <c r="A969" s="12"/>
    </row>
    <row r="970" spans="1:1" ht="15.05">
      <c r="A970" s="12"/>
    </row>
    <row r="971" spans="1:1" ht="15.05">
      <c r="A971" s="12"/>
    </row>
    <row r="972" spans="1:1" ht="15.05">
      <c r="A972" s="12"/>
    </row>
    <row r="973" spans="1:1" ht="15.05">
      <c r="A973" s="12"/>
    </row>
    <row r="974" spans="1:1" ht="15.05">
      <c r="A974" s="12"/>
    </row>
    <row r="975" spans="1:1" ht="15.05">
      <c r="A975" s="12"/>
    </row>
    <row r="976" spans="1:1" ht="15.05">
      <c r="A976" s="12"/>
    </row>
    <row r="977" spans="1:1" ht="15.05">
      <c r="A977" s="12"/>
    </row>
    <row r="978" spans="1:1" ht="15.05">
      <c r="A978" s="12"/>
    </row>
    <row r="979" spans="1:1" ht="15.05">
      <c r="A979" s="12"/>
    </row>
    <row r="980" spans="1:1" ht="15.05">
      <c r="A980" s="12"/>
    </row>
    <row r="981" spans="1:1" ht="15.05">
      <c r="A981" s="12"/>
    </row>
    <row r="982" spans="1:1" ht="15.05">
      <c r="A982" s="12"/>
    </row>
    <row r="983" spans="1:1" ht="15.05">
      <c r="A983" s="12"/>
    </row>
    <row r="984" spans="1:1" ht="15.05">
      <c r="A984" s="12"/>
    </row>
    <row r="985" spans="1:1" ht="15.05">
      <c r="A985" s="12"/>
    </row>
    <row r="986" spans="1:1" ht="15.05">
      <c r="A986" s="12"/>
    </row>
    <row r="987" spans="1:1" ht="15.05">
      <c r="A987" s="12"/>
    </row>
    <row r="988" spans="1:1" ht="15.05">
      <c r="A988" s="12"/>
    </row>
    <row r="989" spans="1:1" ht="15.05">
      <c r="A989" s="12"/>
    </row>
    <row r="990" spans="1:1" ht="15.05">
      <c r="A990" s="12"/>
    </row>
    <row r="991" spans="1:1" ht="15.05">
      <c r="A991" s="12"/>
    </row>
    <row r="992" spans="1:1" ht="15.05">
      <c r="A992" s="12"/>
    </row>
    <row r="993" spans="1:1" ht="15.05">
      <c r="A993" s="12"/>
    </row>
    <row r="994" spans="1:1" ht="15.05">
      <c r="A994" s="12"/>
    </row>
    <row r="995" spans="1:1" ht="15.05">
      <c r="A995" s="12"/>
    </row>
    <row r="996" spans="1:1" ht="15.05">
      <c r="A996" s="12"/>
    </row>
    <row r="997" spans="1:1" ht="15.05">
      <c r="A997" s="12"/>
    </row>
    <row r="998" spans="1:1" ht="15.05">
      <c r="A998" s="12"/>
    </row>
    <row r="999" spans="1:1" ht="15.05">
      <c r="A999" s="12"/>
    </row>
    <row r="1000" spans="1:1" ht="15.05">
      <c r="A1000" s="12"/>
    </row>
    <row r="1001" spans="1:1" ht="15.05">
      <c r="A1001" s="12"/>
    </row>
    <row r="1002" spans="1:1" ht="15.05">
      <c r="A1002" s="12"/>
    </row>
    <row r="1003" spans="1:1" ht="15.05">
      <c r="A1003" s="12"/>
    </row>
    <row r="1004" spans="1:1" ht="15.05">
      <c r="A1004" s="12"/>
    </row>
    <row r="1005" spans="1:1" ht="15.05">
      <c r="A1005" s="12"/>
    </row>
    <row r="1006" spans="1:1" ht="15.05">
      <c r="A1006" s="12"/>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B22"/>
  <sheetViews>
    <sheetView workbookViewId="0"/>
  </sheetViews>
  <sheetFormatPr defaultColWidth="17.33203125" defaultRowHeight="15.85" customHeight="1"/>
  <cols>
    <col min="1" max="1" width="24.44140625" customWidth="1"/>
    <col min="2" max="2" width="59" customWidth="1"/>
  </cols>
  <sheetData>
    <row r="1" spans="1:2" ht="15.85" customHeight="1">
      <c r="A1" s="1"/>
      <c r="B1" s="289">
        <v>43094</v>
      </c>
    </row>
    <row r="2" spans="1:2" ht="15.85" customHeight="1">
      <c r="A2" s="1" t="s">
        <v>1</v>
      </c>
      <c r="B2" s="5" t="s">
        <v>1364</v>
      </c>
    </row>
    <row r="3" spans="1:2" ht="15.85" customHeight="1">
      <c r="A3" s="1"/>
    </row>
    <row r="4" spans="1:2" ht="15.85" customHeight="1">
      <c r="A4" s="1" t="s">
        <v>4</v>
      </c>
      <c r="B4" t="str">
        <f>VLOOKUP($B$1,'2017-A'!$B$2:$Y$77,2)</f>
        <v>Christmas Day</v>
      </c>
    </row>
    <row r="5" spans="1:2" ht="15.85" customHeight="1">
      <c r="A5" s="1" t="s">
        <v>9</v>
      </c>
      <c r="B5" t="str">
        <f>VLOOKUP($B$1,'2017-A'!$B$2:$Y$77,3)</f>
        <v>Gran</v>
      </c>
    </row>
    <row r="6" spans="1:2" ht="15.85" customHeight="1">
      <c r="A6" s="1" t="s">
        <v>27</v>
      </c>
      <c r="B6" t="str">
        <f>VLOOKUP($B$1,'2017-A'!$B$2:$Y$77,4)</f>
        <v>Buchholz</v>
      </c>
    </row>
    <row r="7" spans="1:2" ht="15.85" customHeight="1">
      <c r="A7" s="1" t="s">
        <v>28</v>
      </c>
      <c r="B7" t="str">
        <f>VLOOKUP($B$1,'2017-A'!$B$2:$Y$77,5)</f>
        <v>Kurt</v>
      </c>
    </row>
    <row r="8" spans="1:2" ht="15.85" customHeight="1">
      <c r="A8" s="1" t="s">
        <v>29</v>
      </c>
      <c r="B8">
        <f>VLOOKUP($B$1,'2017-A'!$B$2:$Y$77,12)</f>
        <v>0</v>
      </c>
    </row>
    <row r="9" spans="1:2" ht="15.85" customHeight="1">
      <c r="A9" s="12"/>
    </row>
    <row r="10" spans="1:2" ht="15.85" customHeight="1">
      <c r="A10" s="14" t="s">
        <v>33</v>
      </c>
      <c r="B10" t="e">
        <f ca="1">getNote(CONCATENATE("'",B2,"'!N",MATCH(B1,'2017-A'!B1:B78)))</f>
        <v>#NAME?</v>
      </c>
    </row>
    <row r="11" spans="1:2" ht="15.85" customHeight="1">
      <c r="A11" s="14"/>
      <c r="B11" s="15"/>
    </row>
    <row r="12" spans="1:2" ht="15.85" customHeight="1">
      <c r="A12" s="14" t="s">
        <v>37</v>
      </c>
      <c r="B12" s="15" t="e">
        <f ca="1">getNote(CONCATENATE("'",B2,"'!O",MATCH(B1,'2017-A'!B1:B78)))</f>
        <v>#NAME?</v>
      </c>
    </row>
    <row r="13" spans="1:2" ht="15.85" customHeight="1">
      <c r="A13" s="18"/>
      <c r="B13" s="5"/>
    </row>
    <row r="14" spans="1:2" ht="15.85" customHeight="1">
      <c r="A14" s="1" t="s">
        <v>39</v>
      </c>
      <c r="B14">
        <f>VLOOKUP($B$1,'2017-A'!$B$1:$Y$77,17)</f>
        <v>0</v>
      </c>
    </row>
    <row r="15" spans="1:2" ht="15.85" customHeight="1">
      <c r="A15" s="1" t="s">
        <v>45</v>
      </c>
      <c r="B15" s="24" t="str">
        <f>VLOOKUP($B$1,'2017-A'!$B$1:$Y$77,18)</f>
        <v>Isaiah 52:7-10</v>
      </c>
    </row>
    <row r="16" spans="1:2" ht="15.85" customHeight="1">
      <c r="A16" s="12"/>
    </row>
    <row r="17" spans="1:2" ht="15.85" customHeight="1">
      <c r="A17" s="1" t="s">
        <v>48</v>
      </c>
      <c r="B17" s="24" t="str">
        <f>VLOOKUP($B$1,'2017-A'!$B$1:$Y$77,19)</f>
        <v>What's the good news?</v>
      </c>
    </row>
    <row r="18" spans="1:2" ht="15.85" customHeight="1">
      <c r="A18" s="1" t="s">
        <v>49</v>
      </c>
      <c r="B18" s="24" t="str">
        <f>VLOOKUP($B$1,'2017-A'!$B$1:$Y$77,20)</f>
        <v>Isaiah 52:7-10</v>
      </c>
    </row>
    <row r="19" spans="1:2" ht="15.85" customHeight="1">
      <c r="A19" s="1" t="s">
        <v>50</v>
      </c>
      <c r="B19" s="24" t="str">
        <f>VLOOKUP($B$1,'2017-A'!$B$1:$Y$77,21)</f>
        <v>Hebrews 1:1-9</v>
      </c>
    </row>
    <row r="20" spans="1:2" ht="15.85" customHeight="1">
      <c r="A20" s="1" t="s">
        <v>51</v>
      </c>
      <c r="B20" s="29" t="str">
        <f>VLOOKUP($B$1,'2017-A'!$B$1:$Y$77,22)</f>
        <v>John 1:1-14</v>
      </c>
    </row>
    <row r="21" spans="1:2" ht="15.85" customHeight="1">
      <c r="A21" s="12"/>
    </row>
    <row r="22" spans="1:2" ht="15.85" customHeight="1">
      <c r="A22" s="1" t="s">
        <v>54</v>
      </c>
      <c r="B22" s="24" t="str">
        <f>VLOOKUP($B$1,'2017-A'!$B$1:$Y$77,23)</f>
        <v>98</v>
      </c>
    </row>
  </sheetData>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Z991"/>
  <sheetViews>
    <sheetView workbookViewId="0"/>
  </sheetViews>
  <sheetFormatPr defaultColWidth="17.33203125" defaultRowHeight="15.85" customHeight="1"/>
  <cols>
    <col min="1" max="1" width="2.109375" customWidth="1"/>
    <col min="2" max="2" width="28" customWidth="1"/>
    <col min="3" max="3" width="30.109375" customWidth="1"/>
    <col min="4" max="4" width="3.6640625" customWidth="1"/>
  </cols>
  <sheetData>
    <row r="1" spans="1:26" ht="15.85" customHeight="1">
      <c r="B1" s="1" t="s">
        <v>1379</v>
      </c>
      <c r="D1" s="248"/>
      <c r="E1" s="5"/>
    </row>
    <row r="2" spans="1:26">
      <c r="A2" s="2">
        <f>'2018-B'!A1</f>
        <v>0</v>
      </c>
      <c r="B2" s="4" t="str">
        <f>'2018-B'!B1</f>
        <v>Date</v>
      </c>
      <c r="C2" s="7" t="str">
        <f>'2018-B'!C1</f>
        <v>Sunday/Festival</v>
      </c>
      <c r="D2" s="8" t="str">
        <f>'2018-B'!G1</f>
        <v>HC</v>
      </c>
      <c r="E2" s="7" t="s">
        <v>1382</v>
      </c>
      <c r="F2" s="7" t="s">
        <v>1383</v>
      </c>
      <c r="G2" s="168" t="s">
        <v>1384</v>
      </c>
    </row>
    <row r="3" spans="1:26">
      <c r="A3" s="16">
        <f>'2018-B'!A2</f>
        <v>1</v>
      </c>
      <c r="B3" s="17">
        <f>'2018-B'!B2</f>
        <v>43107</v>
      </c>
      <c r="C3" s="20" t="str">
        <f>'2018-B'!C2</f>
        <v>Baptism of Our Lord</v>
      </c>
      <c r="D3" s="8" t="str">
        <f>'2018-B'!G2</f>
        <v/>
      </c>
      <c r="E3" s="20"/>
      <c r="F3" s="20"/>
      <c r="G3" s="23"/>
    </row>
    <row r="4" spans="1:26">
      <c r="A4" s="16">
        <f>'2018-B'!A3</f>
        <v>2</v>
      </c>
      <c r="B4" s="41">
        <f>'2018-B'!B3</f>
        <v>43114</v>
      </c>
      <c r="C4" s="43" t="str">
        <f>'2018-B'!C3</f>
        <v>Epiphany 2</v>
      </c>
      <c r="D4" s="8" t="str">
        <f>'2018-B'!G3</f>
        <v>X</v>
      </c>
      <c r="E4" s="43"/>
      <c r="F4" s="43"/>
      <c r="G4" s="45"/>
    </row>
    <row r="5" spans="1:26">
      <c r="A5" s="16">
        <f>'2018-B'!A4</f>
        <v>3</v>
      </c>
      <c r="B5" s="41">
        <f>'2018-B'!B4</f>
        <v>43121</v>
      </c>
      <c r="C5" s="43" t="str">
        <f>'2018-B'!C4</f>
        <v>Epiphany 3</v>
      </c>
      <c r="D5" s="8" t="str">
        <f>'2018-B'!G4</f>
        <v/>
      </c>
      <c r="E5" s="43"/>
      <c r="F5" s="43"/>
      <c r="G5" s="45"/>
    </row>
    <row r="6" spans="1:26">
      <c r="A6" s="16">
        <f>'2018-B'!A5</f>
        <v>4</v>
      </c>
      <c r="B6" s="41">
        <f>'2018-B'!B5</f>
        <v>43128</v>
      </c>
      <c r="C6" s="43" t="str">
        <f>'2018-B'!C5</f>
        <v>Epiphany 4</v>
      </c>
      <c r="D6" s="8" t="str">
        <f>'2018-B'!G5</f>
        <v>X</v>
      </c>
      <c r="E6" s="43"/>
      <c r="F6" s="43"/>
      <c r="G6" s="44"/>
    </row>
    <row r="7" spans="1:26">
      <c r="A7" s="16">
        <f>'2018-B'!A6</f>
        <v>1</v>
      </c>
      <c r="B7" s="41">
        <f>'2018-B'!B6</f>
        <v>43135</v>
      </c>
      <c r="C7" s="43" t="str">
        <f>'2018-B'!C6</f>
        <v>Christian Education Sunday</v>
      </c>
      <c r="D7" s="8" t="str">
        <f>'2018-B'!G6</f>
        <v/>
      </c>
      <c r="E7" s="43"/>
      <c r="F7" s="43"/>
      <c r="G7" s="45"/>
    </row>
    <row r="8" spans="1:26">
      <c r="A8" s="16">
        <f>'2018-B'!A7</f>
        <v>2</v>
      </c>
      <c r="B8" s="37">
        <f>'2018-B'!B7</f>
        <v>43142</v>
      </c>
      <c r="C8" s="20" t="str">
        <f>'2018-B'!C7</f>
        <v>Transfiguration</v>
      </c>
      <c r="D8" s="8" t="str">
        <f>'2018-B'!G7</f>
        <v>X</v>
      </c>
      <c r="E8" s="20"/>
      <c r="F8" s="20"/>
      <c r="G8" s="22"/>
      <c r="H8" s="158"/>
      <c r="I8" s="158"/>
      <c r="J8" s="158"/>
      <c r="K8" s="158"/>
      <c r="L8" s="158"/>
      <c r="M8" s="158"/>
      <c r="N8" s="158"/>
      <c r="O8" s="158"/>
      <c r="P8" s="158"/>
      <c r="Q8" s="158"/>
      <c r="R8" s="158"/>
      <c r="S8" s="158"/>
      <c r="T8" s="158"/>
      <c r="U8" s="158"/>
      <c r="V8" s="158"/>
      <c r="W8" s="158"/>
      <c r="X8" s="158"/>
      <c r="Y8" s="158"/>
      <c r="Z8" s="158"/>
    </row>
    <row r="9" spans="1:26">
      <c r="A9" s="16">
        <f>'2018-B'!A8</f>
        <v>3</v>
      </c>
      <c r="B9" s="284">
        <f>'2018-B'!B8</f>
        <v>43145</v>
      </c>
      <c r="C9" s="291" t="str">
        <f>'2018-B'!C8</f>
        <v>Ash Wednesday</v>
      </c>
      <c r="D9" s="8" t="str">
        <f>'2018-B'!G8</f>
        <v>X</v>
      </c>
      <c r="E9" s="291"/>
      <c r="F9" s="291"/>
      <c r="G9" s="292"/>
    </row>
    <row r="10" spans="1:26">
      <c r="A10" s="16">
        <f>'2018-B'!A9</f>
        <v>3</v>
      </c>
      <c r="B10" s="68">
        <f>'2018-B'!B9</f>
        <v>43149</v>
      </c>
      <c r="C10" s="70" t="str">
        <f>'2018-B'!C9</f>
        <v>Lent 1</v>
      </c>
      <c r="D10" s="8" t="str">
        <f>'2018-B'!G9</f>
        <v/>
      </c>
      <c r="E10" s="70"/>
      <c r="F10" s="70"/>
      <c r="G10" s="71"/>
    </row>
    <row r="11" spans="1:26">
      <c r="A11" s="16">
        <f>'2018-B'!A10</f>
        <v>4</v>
      </c>
      <c r="B11" s="68">
        <f>'2018-B'!B10</f>
        <v>43152</v>
      </c>
      <c r="C11" s="70" t="str">
        <f>'2018-B'!C10</f>
        <v>Midweek Lent 2</v>
      </c>
      <c r="D11" s="8">
        <f>'2018-B'!G10</f>
        <v>0</v>
      </c>
      <c r="E11" s="70"/>
      <c r="F11" s="70"/>
      <c r="G11" s="78"/>
    </row>
    <row r="12" spans="1:26">
      <c r="A12" s="16">
        <f>'2018-B'!A11</f>
        <v>4</v>
      </c>
      <c r="B12" s="68">
        <f>'2018-B'!B11</f>
        <v>43156</v>
      </c>
      <c r="C12" s="70" t="str">
        <f>'2018-B'!C11</f>
        <v>Lent 2</v>
      </c>
      <c r="D12" s="8" t="str">
        <f>'2018-B'!G11</f>
        <v>X</v>
      </c>
      <c r="E12" s="70"/>
      <c r="F12" s="70"/>
      <c r="G12" s="71"/>
    </row>
    <row r="13" spans="1:26">
      <c r="A13" s="16">
        <f>'2018-B'!A12</f>
        <v>5</v>
      </c>
      <c r="B13" s="68">
        <f>'2018-B'!B12</f>
        <v>43159</v>
      </c>
      <c r="C13" s="70" t="str">
        <f>'2018-B'!C12</f>
        <v>Midweek Lent 3</v>
      </c>
      <c r="D13" s="8">
        <f>'2018-B'!G12</f>
        <v>0</v>
      </c>
      <c r="E13" s="70"/>
      <c r="F13" s="70"/>
      <c r="G13" s="71"/>
    </row>
    <row r="14" spans="1:26">
      <c r="A14" s="16">
        <f>'2018-B'!A13</f>
        <v>1</v>
      </c>
      <c r="B14" s="91">
        <f>'2018-B'!B13</f>
        <v>43163</v>
      </c>
      <c r="C14" s="70" t="str">
        <f>'2018-B'!C13</f>
        <v>Lent 3</v>
      </c>
      <c r="D14" s="8" t="str">
        <f>'2018-B'!G13</f>
        <v/>
      </c>
      <c r="E14" s="70"/>
      <c r="F14" s="70"/>
      <c r="G14" s="78"/>
    </row>
    <row r="15" spans="1:26">
      <c r="A15" s="16">
        <f>'2018-B'!A14</f>
        <v>2</v>
      </c>
      <c r="B15" s="68">
        <f>'2018-B'!B14</f>
        <v>43166</v>
      </c>
      <c r="C15" s="70" t="str">
        <f>'2018-B'!C14</f>
        <v>Midweek Lent 4</v>
      </c>
      <c r="D15" s="8">
        <f>'2018-B'!G14</f>
        <v>0</v>
      </c>
      <c r="E15" s="70"/>
      <c r="F15" s="70"/>
      <c r="G15" s="78"/>
    </row>
    <row r="16" spans="1:26">
      <c r="A16" s="16">
        <f>'2018-B'!A15</f>
        <v>2</v>
      </c>
      <c r="B16" s="91">
        <f>'2018-B'!B15</f>
        <v>43170</v>
      </c>
      <c r="C16" s="70" t="str">
        <f>'2018-B'!C15</f>
        <v>Lent 4</v>
      </c>
      <c r="D16" s="8" t="str">
        <f>'2018-B'!G15</f>
        <v>X</v>
      </c>
      <c r="E16" s="70"/>
      <c r="F16" s="70"/>
      <c r="G16" s="71"/>
    </row>
    <row r="17" spans="1:26">
      <c r="A17" s="16">
        <f>'2018-B'!A16</f>
        <v>3</v>
      </c>
      <c r="B17" s="68">
        <f>'2018-B'!B16</f>
        <v>43173</v>
      </c>
      <c r="C17" s="70" t="str">
        <f>'2018-B'!C16</f>
        <v>Midweek Lent 5</v>
      </c>
      <c r="D17" s="8" t="str">
        <f>'2018-B'!G16</f>
        <v/>
      </c>
      <c r="E17" s="70"/>
      <c r="F17" s="70"/>
      <c r="G17" s="71"/>
    </row>
    <row r="18" spans="1:26">
      <c r="A18" s="16">
        <f>'2018-B'!A17</f>
        <v>3</v>
      </c>
      <c r="B18" s="91">
        <f>'2018-B'!B17</f>
        <v>43177</v>
      </c>
      <c r="C18" s="70" t="str">
        <f>'2018-B'!C17</f>
        <v>Lent 5</v>
      </c>
      <c r="D18" s="8" t="str">
        <f>'2018-B'!G17</f>
        <v/>
      </c>
      <c r="E18" s="70"/>
      <c r="F18" s="70"/>
      <c r="G18" s="71"/>
    </row>
    <row r="19" spans="1:26">
      <c r="A19" s="16">
        <f>'2018-B'!A18</f>
        <v>4</v>
      </c>
      <c r="B19" s="68">
        <f>'2018-B'!B18</f>
        <v>43180</v>
      </c>
      <c r="C19" s="70" t="str">
        <f>'2018-B'!C18</f>
        <v>Midweek Lent 6</v>
      </c>
      <c r="D19" s="8">
        <f>'2018-B'!G18</f>
        <v>0</v>
      </c>
      <c r="E19" s="70"/>
      <c r="F19" s="70"/>
      <c r="G19" s="71"/>
    </row>
    <row r="20" spans="1:26">
      <c r="A20" s="16">
        <f>'2018-B'!A19</f>
        <v>4</v>
      </c>
      <c r="B20" s="91">
        <f>'2018-B'!B19</f>
        <v>43184</v>
      </c>
      <c r="C20" s="70" t="str">
        <f>'2018-B'!C19</f>
        <v xml:space="preserve">Palm Sunday </v>
      </c>
      <c r="D20" s="8" t="str">
        <f>'2018-B'!G19</f>
        <v>X</v>
      </c>
      <c r="E20" s="70"/>
      <c r="F20" s="70"/>
      <c r="G20" s="78"/>
    </row>
    <row r="21" spans="1:26">
      <c r="A21" s="16">
        <f>'2018-B'!A20</f>
        <v>5</v>
      </c>
      <c r="B21" s="68">
        <f>'2018-B'!B20</f>
        <v>43188</v>
      </c>
      <c r="C21" s="70" t="str">
        <f>'2018-B'!C20</f>
        <v>Maundy Thursday</v>
      </c>
      <c r="D21" s="8" t="str">
        <f>'2018-B'!G20</f>
        <v>X</v>
      </c>
      <c r="E21" s="70"/>
      <c r="F21" s="70"/>
      <c r="G21" s="78"/>
    </row>
    <row r="22" spans="1:26">
      <c r="A22" s="16">
        <f>'2018-B'!A21</f>
        <v>5</v>
      </c>
      <c r="B22" s="274">
        <f>'2018-B'!B21</f>
        <v>43189</v>
      </c>
      <c r="C22" s="291" t="str">
        <f>'2018-B'!C21</f>
        <v>Good Friday</v>
      </c>
      <c r="D22" s="8" t="str">
        <f>'2018-B'!G21</f>
        <v>X</v>
      </c>
      <c r="E22" s="291"/>
      <c r="F22" s="291"/>
      <c r="G22" s="293"/>
    </row>
    <row r="23" spans="1:26">
      <c r="A23" s="16">
        <f>'2018-B'!A23</f>
        <v>1</v>
      </c>
      <c r="B23" s="37">
        <f>'2018-B'!B23</f>
        <v>43191</v>
      </c>
      <c r="C23" s="20" t="str">
        <f>'2018-B'!C23</f>
        <v>Easter Song Service</v>
      </c>
      <c r="D23" s="8" t="str">
        <f>'2018-B'!G23</f>
        <v/>
      </c>
      <c r="E23" s="20"/>
      <c r="F23" s="20"/>
      <c r="G23" s="22"/>
      <c r="H23" s="158"/>
      <c r="I23" s="158"/>
      <c r="J23" s="158"/>
      <c r="K23" s="158"/>
      <c r="L23" s="158"/>
      <c r="M23" s="158"/>
      <c r="N23" s="158"/>
      <c r="O23" s="158"/>
      <c r="P23" s="158"/>
      <c r="Q23" s="158"/>
      <c r="R23" s="158"/>
      <c r="S23" s="158"/>
      <c r="T23" s="158"/>
      <c r="U23" s="158"/>
      <c r="V23" s="158"/>
      <c r="W23" s="158"/>
      <c r="X23" s="158"/>
      <c r="Y23" s="158"/>
      <c r="Z23" s="158"/>
    </row>
    <row r="24" spans="1:26">
      <c r="A24" s="16">
        <f>'2018-B'!A24</f>
        <v>1</v>
      </c>
      <c r="B24" s="17">
        <f>'2018-B'!B24</f>
        <v>43191</v>
      </c>
      <c r="C24" s="20" t="str">
        <f>'2018-B'!C24</f>
        <v>Easter Festival</v>
      </c>
      <c r="D24" s="8" t="str">
        <f>'2018-B'!G24</f>
        <v/>
      </c>
      <c r="E24" s="20"/>
      <c r="F24" s="20"/>
      <c r="G24" s="22"/>
      <c r="H24" s="158"/>
      <c r="I24" s="158"/>
      <c r="J24" s="158"/>
      <c r="K24" s="158"/>
      <c r="L24" s="158"/>
      <c r="M24" s="158"/>
      <c r="N24" s="158"/>
      <c r="O24" s="158"/>
      <c r="P24" s="158"/>
      <c r="Q24" s="158"/>
      <c r="R24" s="158"/>
      <c r="S24" s="158"/>
      <c r="T24" s="158"/>
      <c r="U24" s="158"/>
      <c r="V24" s="158"/>
      <c r="W24" s="158"/>
      <c r="X24" s="158"/>
      <c r="Y24" s="158"/>
      <c r="Z24" s="158"/>
    </row>
    <row r="25" spans="1:26">
      <c r="A25" s="16">
        <f>'2018-B'!A25</f>
        <v>2</v>
      </c>
      <c r="B25" s="17">
        <f>'2018-B'!B25</f>
        <v>43198</v>
      </c>
      <c r="C25" s="20" t="str">
        <f>'2018-B'!C25</f>
        <v>Easter 2</v>
      </c>
      <c r="D25" s="8" t="str">
        <f>'2018-B'!G25</f>
        <v>X</v>
      </c>
      <c r="E25" s="20"/>
      <c r="F25" s="20"/>
      <c r="G25" s="22"/>
    </row>
    <row r="26" spans="1:26">
      <c r="A26" s="16">
        <f>'2018-B'!A26</f>
        <v>3</v>
      </c>
      <c r="B26" s="19">
        <v>42839</v>
      </c>
      <c r="C26" s="20" t="str">
        <f>'2018-B'!C26</f>
        <v>Easter 3</v>
      </c>
      <c r="D26" s="8" t="str">
        <f>'2018-B'!G26</f>
        <v/>
      </c>
      <c r="E26" s="20"/>
      <c r="F26" s="20"/>
      <c r="G26" s="22"/>
    </row>
    <row r="27" spans="1:26">
      <c r="A27" s="16">
        <f>'2018-B'!A27</f>
        <v>4</v>
      </c>
      <c r="B27" s="17">
        <f>'2018-B'!B27</f>
        <v>43212</v>
      </c>
      <c r="C27" s="20" t="str">
        <f>'2018-B'!C27</f>
        <v>Easter 4</v>
      </c>
      <c r="D27" s="8" t="str">
        <f>'2018-B'!G27</f>
        <v>X</v>
      </c>
      <c r="E27" s="20"/>
      <c r="F27" s="20"/>
      <c r="G27" s="23"/>
    </row>
    <row r="28" spans="1:26">
      <c r="A28" s="16">
        <f>'2018-B'!A28</f>
        <v>5</v>
      </c>
      <c r="B28" s="37">
        <f>'2018-B'!B28</f>
        <v>43219</v>
      </c>
      <c r="C28" s="20" t="str">
        <f>'2018-B'!C28</f>
        <v>Easter 5</v>
      </c>
      <c r="D28" s="8" t="str">
        <f>'2018-B'!G28</f>
        <v>X</v>
      </c>
      <c r="E28" s="20"/>
      <c r="F28" s="20"/>
      <c r="G28" s="23"/>
    </row>
    <row r="29" spans="1:26">
      <c r="A29" s="16">
        <f>'2018-B'!A29</f>
        <v>1</v>
      </c>
      <c r="B29" s="37">
        <f>'2018-B'!B29</f>
        <v>43226</v>
      </c>
      <c r="C29" s="20" t="str">
        <f>'2018-B'!C29</f>
        <v>Easter 6</v>
      </c>
      <c r="D29" s="8" t="str">
        <f>'2018-B'!G29</f>
        <v/>
      </c>
      <c r="E29" s="20"/>
      <c r="F29" s="20"/>
      <c r="G29" s="22"/>
    </row>
    <row r="30" spans="1:26" ht="15.05">
      <c r="A30" s="16">
        <f>'2018-B'!A30</f>
        <v>2</v>
      </c>
      <c r="B30" s="37">
        <f>'2018-B'!B30</f>
        <v>43233</v>
      </c>
      <c r="C30" s="20" t="str">
        <f>'2018-B'!C30</f>
        <v>Easter 7/Ascension/Mother's Day</v>
      </c>
      <c r="D30" s="8" t="str">
        <f>'2018-B'!G30</f>
        <v>X</v>
      </c>
      <c r="E30" s="20"/>
      <c r="F30" s="20"/>
      <c r="G30" s="23"/>
    </row>
    <row r="31" spans="1:26" ht="15.05">
      <c r="A31" s="16">
        <f>'2018-B'!A31</f>
        <v>3</v>
      </c>
      <c r="B31" s="173">
        <f>'2018-B'!B31</f>
        <v>43240</v>
      </c>
      <c r="C31" s="114" t="str">
        <f>'2018-B'!C31</f>
        <v>Pentecost/Confirmation</v>
      </c>
      <c r="D31" s="8" t="str">
        <f>'2018-B'!G31</f>
        <v/>
      </c>
      <c r="E31" s="114"/>
      <c r="F31" s="114"/>
      <c r="G31" s="115"/>
    </row>
    <row r="32" spans="1:26" ht="15.05">
      <c r="A32" s="16">
        <f>'2018-B'!A32</f>
        <v>4</v>
      </c>
      <c r="B32" s="37">
        <f>'2018-B'!B32</f>
        <v>43247</v>
      </c>
      <c r="C32" s="20" t="str">
        <f>'2018-B'!C32</f>
        <v>Holy Trinity</v>
      </c>
      <c r="D32" s="8" t="str">
        <f>'2018-B'!G32</f>
        <v>X</v>
      </c>
      <c r="E32" s="20"/>
      <c r="F32" s="20"/>
      <c r="G32" s="23"/>
    </row>
    <row r="33" spans="1:26" ht="15.05">
      <c r="A33" s="16">
        <f>'2018-B'!A33</f>
        <v>1</v>
      </c>
      <c r="B33" s="41">
        <f>'2018-B'!B33</f>
        <v>43254</v>
      </c>
      <c r="C33" s="43" t="str">
        <f>'2018-B'!C33</f>
        <v>Pentecost 2B</v>
      </c>
      <c r="D33" s="8" t="str">
        <f>'2018-B'!G33</f>
        <v/>
      </c>
      <c r="E33" s="43"/>
      <c r="F33" s="43"/>
      <c r="G33" s="44"/>
    </row>
    <row r="34" spans="1:26" ht="15.05">
      <c r="A34" s="16">
        <f>'2018-B'!A34</f>
        <v>2</v>
      </c>
      <c r="B34" s="41">
        <f>'2018-B'!B34</f>
        <v>43261</v>
      </c>
      <c r="C34" s="43" t="str">
        <f>'2018-B'!C34</f>
        <v>Pentecost 3B</v>
      </c>
      <c r="D34" s="8" t="str">
        <f>'2018-B'!G34</f>
        <v>X</v>
      </c>
      <c r="E34" s="43"/>
      <c r="F34" s="43"/>
      <c r="G34" s="44"/>
    </row>
    <row r="35" spans="1:26" ht="15.05">
      <c r="A35" s="294">
        <f>'2018-B'!A35</f>
        <v>3</v>
      </c>
      <c r="B35" s="41">
        <f>'2018-B'!B35</f>
        <v>43268</v>
      </c>
      <c r="C35" s="43" t="str">
        <f>'2018-B'!C35</f>
        <v>Pentecost 4B</v>
      </c>
      <c r="D35" s="295" t="str">
        <f>'2018-B'!G35</f>
        <v/>
      </c>
      <c r="E35" s="43"/>
      <c r="F35" s="43"/>
      <c r="G35" s="162"/>
      <c r="H35" s="296"/>
      <c r="I35" s="296"/>
      <c r="J35" s="296"/>
      <c r="K35" s="296"/>
      <c r="L35" s="296"/>
      <c r="M35" s="296"/>
      <c r="N35" s="296"/>
      <c r="O35" s="296"/>
      <c r="P35" s="296"/>
      <c r="Q35" s="296"/>
      <c r="R35" s="296"/>
      <c r="S35" s="296"/>
      <c r="T35" s="296"/>
      <c r="U35" s="296"/>
      <c r="V35" s="296"/>
      <c r="W35" s="296"/>
      <c r="X35" s="296"/>
      <c r="Y35" s="296"/>
      <c r="Z35" s="296"/>
    </row>
    <row r="36" spans="1:26" ht="15.05">
      <c r="A36" s="16">
        <f>'2018-B'!A36</f>
        <v>4</v>
      </c>
      <c r="B36" s="41">
        <f>'2018-B'!B36</f>
        <v>43275</v>
      </c>
      <c r="C36" s="43" t="str">
        <f>'2018-B'!C36</f>
        <v>Pentecost 5B</v>
      </c>
      <c r="D36" s="8" t="str">
        <f>'2018-B'!G36</f>
        <v>X</v>
      </c>
      <c r="E36" s="43"/>
      <c r="F36" s="43"/>
      <c r="G36" s="45"/>
    </row>
    <row r="37" spans="1:26" ht="15.05">
      <c r="A37" s="16">
        <f>'2018-B'!A37</f>
        <v>1</v>
      </c>
      <c r="B37" s="41">
        <f>'2018-B'!B37</f>
        <v>43282</v>
      </c>
      <c r="C37" s="43" t="str">
        <f>'2018-B'!C37</f>
        <v>Pentecost 6B</v>
      </c>
      <c r="D37" s="8" t="str">
        <f>'2018-B'!G37</f>
        <v/>
      </c>
      <c r="E37" s="43"/>
      <c r="F37" s="51"/>
      <c r="G37" s="44"/>
    </row>
    <row r="38" spans="1:26" ht="15.05">
      <c r="A38" s="16">
        <f>'2018-B'!A38</f>
        <v>2</v>
      </c>
      <c r="B38" s="41">
        <f>'2018-B'!B38</f>
        <v>43289</v>
      </c>
      <c r="C38" s="43" t="str">
        <f>'2018-B'!C38</f>
        <v>Pentecost 7B</v>
      </c>
      <c r="D38" s="8" t="str">
        <f>'2018-B'!G38</f>
        <v>X</v>
      </c>
      <c r="E38" s="43"/>
      <c r="F38" s="51"/>
      <c r="G38" s="45"/>
    </row>
    <row r="39" spans="1:26" ht="15.05">
      <c r="A39" s="16">
        <f>'2018-B'!A39</f>
        <v>3</v>
      </c>
      <c r="B39" s="41">
        <f>'2018-B'!B39</f>
        <v>43296</v>
      </c>
      <c r="C39" s="43" t="str">
        <f>'2018-B'!C39</f>
        <v>Pentecost 8B</v>
      </c>
      <c r="D39" s="8" t="str">
        <f>'2018-B'!G39</f>
        <v/>
      </c>
      <c r="E39" s="43"/>
      <c r="F39" s="51"/>
      <c r="G39" s="44"/>
    </row>
    <row r="40" spans="1:26" ht="15.05">
      <c r="A40" s="16">
        <f>'2018-B'!A40</f>
        <v>4</v>
      </c>
      <c r="B40" s="41">
        <f>'2018-B'!B40</f>
        <v>43303</v>
      </c>
      <c r="C40" s="232" t="str">
        <f>'2018-B'!C40</f>
        <v>Pentecost 9B</v>
      </c>
      <c r="D40" s="8" t="str">
        <f>'2018-B'!G40</f>
        <v>X</v>
      </c>
      <c r="E40" s="43"/>
      <c r="F40" s="51"/>
      <c r="G40" s="44"/>
    </row>
    <row r="41" spans="1:26" ht="15.05">
      <c r="A41" s="16">
        <f>'2018-B'!A41</f>
        <v>5</v>
      </c>
      <c r="B41" s="41">
        <f>'2018-B'!B41</f>
        <v>43310</v>
      </c>
      <c r="C41" s="43" t="str">
        <f>'2018-B'!C41</f>
        <v>Pentecost 10B</v>
      </c>
      <c r="D41" s="8" t="str">
        <f>'2018-B'!G41</f>
        <v>X</v>
      </c>
      <c r="E41" s="43"/>
      <c r="F41" s="51"/>
      <c r="G41" s="45"/>
    </row>
    <row r="42" spans="1:26" ht="15.05">
      <c r="A42" s="16">
        <f>'2018-B'!A42</f>
        <v>1</v>
      </c>
      <c r="B42" s="41">
        <f>'2018-B'!B42</f>
        <v>43317</v>
      </c>
      <c r="C42" s="43" t="str">
        <f>'2018-B'!C42</f>
        <v>Pentecost 11B</v>
      </c>
      <c r="D42" s="8" t="str">
        <f>'2018-B'!G42</f>
        <v/>
      </c>
      <c r="E42" s="43"/>
      <c r="F42" s="51"/>
      <c r="G42" s="44"/>
    </row>
    <row r="43" spans="1:26" ht="15.05">
      <c r="A43" s="16">
        <f>'2018-B'!A43</f>
        <v>2</v>
      </c>
      <c r="B43" s="41">
        <f>'2018-B'!B43</f>
        <v>43324</v>
      </c>
      <c r="C43" s="232" t="str">
        <f>'2018-B'!C43</f>
        <v>Pentecost 12B</v>
      </c>
      <c r="D43" s="8" t="str">
        <f>'2018-B'!G43</f>
        <v>X</v>
      </c>
      <c r="E43" s="43"/>
      <c r="F43" s="51"/>
      <c r="G43" s="45"/>
    </row>
    <row r="44" spans="1:26" ht="15.05">
      <c r="A44" s="16">
        <f>'2018-B'!A44</f>
        <v>3</v>
      </c>
      <c r="B44" s="41">
        <f>'2018-B'!B44</f>
        <v>43331</v>
      </c>
      <c r="C44" s="43" t="str">
        <f>'2018-B'!C44</f>
        <v>Pentecost 13B</v>
      </c>
      <c r="D44" s="8" t="str">
        <f>'2018-B'!G44</f>
        <v/>
      </c>
      <c r="E44" s="43"/>
      <c r="F44" s="43"/>
      <c r="G44" s="44"/>
    </row>
    <row r="45" spans="1:26" ht="15.05">
      <c r="A45" s="16">
        <f>'2018-B'!A45</f>
        <v>4</v>
      </c>
      <c r="B45" s="41">
        <f>'2018-B'!B45</f>
        <v>43338</v>
      </c>
      <c r="C45" s="232" t="str">
        <f>'2018-B'!C45</f>
        <v>Pentecost 14B</v>
      </c>
      <c r="D45" s="8" t="str">
        <f>'2018-B'!G45</f>
        <v>X</v>
      </c>
      <c r="E45" s="43"/>
      <c r="F45" s="43"/>
      <c r="G45" s="44"/>
    </row>
    <row r="46" spans="1:26" ht="15.05">
      <c r="A46" s="16">
        <f>'2018-B'!A46</f>
        <v>1</v>
      </c>
      <c r="B46" s="41">
        <f>'2018-B'!B46</f>
        <v>43345</v>
      </c>
      <c r="C46" s="43" t="str">
        <f>'2018-B'!C46</f>
        <v>Pentecost 15B</v>
      </c>
      <c r="D46" s="8" t="str">
        <f>'2018-B'!G46</f>
        <v/>
      </c>
      <c r="E46" s="43"/>
      <c r="F46" s="43"/>
      <c r="G46" s="44"/>
    </row>
    <row r="47" spans="1:26" ht="15.05">
      <c r="A47" s="16">
        <f>'2018-B'!A47</f>
        <v>2</v>
      </c>
      <c r="B47" s="41">
        <f>'2018-B'!B47</f>
        <v>43352</v>
      </c>
      <c r="C47" s="43" t="str">
        <f>'2018-B'!C47</f>
        <v>Pentecost 16B</v>
      </c>
      <c r="D47" s="8" t="str">
        <f>'2018-B'!G47</f>
        <v>X</v>
      </c>
      <c r="E47" s="43"/>
      <c r="F47" s="43"/>
      <c r="G47" s="44"/>
    </row>
    <row r="48" spans="1:26" ht="15.05">
      <c r="A48" s="16">
        <f>'2018-B'!A48</f>
        <v>3</v>
      </c>
      <c r="B48" s="41">
        <f>'2018-B'!B48</f>
        <v>43359</v>
      </c>
      <c r="C48" s="43" t="str">
        <f>'2018-B'!C48</f>
        <v>Pentecost 17B</v>
      </c>
      <c r="D48" s="8" t="str">
        <f>'2018-B'!G48</f>
        <v/>
      </c>
      <c r="E48" s="43"/>
      <c r="F48" s="43"/>
      <c r="G48" s="44"/>
    </row>
    <row r="49" spans="1:7" ht="15.05">
      <c r="A49" s="16">
        <f>'2018-B'!A49</f>
        <v>4</v>
      </c>
      <c r="B49" s="41">
        <f>'2018-B'!B49</f>
        <v>43366</v>
      </c>
      <c r="C49" s="43" t="str">
        <f>'2018-B'!C49</f>
        <v>Pentecost 18B</v>
      </c>
      <c r="D49" s="8" t="str">
        <f>'2018-B'!G49</f>
        <v>X</v>
      </c>
      <c r="E49" s="43"/>
      <c r="F49" s="43"/>
      <c r="G49" s="44"/>
    </row>
    <row r="50" spans="1:7" ht="15.05">
      <c r="A50" s="16">
        <f>'2018-B'!A50</f>
        <v>5</v>
      </c>
      <c r="B50" s="41">
        <f>'2018-B'!B50</f>
        <v>43373</v>
      </c>
      <c r="C50" s="43" t="str">
        <f>'2018-B'!C50</f>
        <v>Pentecost 19B</v>
      </c>
      <c r="D50" s="8" t="str">
        <f>'2018-B'!G51</f>
        <v/>
      </c>
      <c r="E50" s="43"/>
      <c r="F50" s="43"/>
      <c r="G50" s="45"/>
    </row>
    <row r="51" spans="1:7" ht="15.05">
      <c r="A51" s="16">
        <f>'2018-B'!A51</f>
        <v>1</v>
      </c>
      <c r="B51" s="41">
        <f>'2018-B'!B51</f>
        <v>43380</v>
      </c>
      <c r="C51" s="43" t="str">
        <f>'2018-B'!C51</f>
        <v>Pentecost 20B</v>
      </c>
      <c r="D51" s="8" t="str">
        <f>'2018-B'!G52</f>
        <v>X</v>
      </c>
      <c r="E51" s="43"/>
      <c r="F51" s="43"/>
      <c r="G51" s="44"/>
    </row>
    <row r="52" spans="1:7" ht="15.05">
      <c r="A52" s="16">
        <f>'2018-B'!A52</f>
        <v>2</v>
      </c>
      <c r="B52" s="41">
        <f>'2018-B'!B52</f>
        <v>43387</v>
      </c>
      <c r="C52" s="297" t="str">
        <f>'2018-B'!C52</f>
        <v>Pentecost 21B</v>
      </c>
      <c r="D52" s="8" t="str">
        <f>'2018-B'!G53</f>
        <v/>
      </c>
      <c r="E52" s="43"/>
      <c r="F52" s="43"/>
      <c r="G52" s="45"/>
    </row>
    <row r="53" spans="1:7" ht="15.05">
      <c r="A53" s="16">
        <f>'2018-B'!A53</f>
        <v>3</v>
      </c>
      <c r="B53" s="41">
        <f>'2018-B'!B53</f>
        <v>43394</v>
      </c>
      <c r="C53" s="297" t="str">
        <f>'2018-B'!C53</f>
        <v>Pentecost 22B</v>
      </c>
      <c r="D53" s="8" t="str">
        <f>'2018-B'!G54</f>
        <v>X</v>
      </c>
      <c r="E53" s="43"/>
      <c r="F53" s="43"/>
      <c r="G53" s="44"/>
    </row>
    <row r="54" spans="1:7" ht="15.05">
      <c r="A54" s="16">
        <f>'2018-B'!A54</f>
        <v>4</v>
      </c>
      <c r="B54" s="41">
        <f>'2018-B'!B54</f>
        <v>43401</v>
      </c>
      <c r="C54" s="297" t="str">
        <f>'2018-B'!C54</f>
        <v>Pentecost 22B</v>
      </c>
      <c r="D54" s="8" t="str">
        <f>'2018-B'!G55</f>
        <v/>
      </c>
      <c r="E54" s="43"/>
      <c r="F54" s="43"/>
      <c r="G54" s="45"/>
    </row>
    <row r="55" spans="1:7" ht="15.05">
      <c r="A55" s="16">
        <f>'2018-B'!A55</f>
        <v>1</v>
      </c>
      <c r="B55" s="41">
        <f>'2018-B'!B55</f>
        <v>43408</v>
      </c>
      <c r="C55" s="297" t="str">
        <f>'2018-B'!C55</f>
        <v>Reformation</v>
      </c>
      <c r="D55" s="8" t="str">
        <f>'2018-B'!G56</f>
        <v>X</v>
      </c>
      <c r="E55" s="43"/>
      <c r="F55" s="43"/>
      <c r="G55" s="44"/>
    </row>
    <row r="56" spans="1:7" ht="15.05">
      <c r="A56" s="16">
        <f>'2018-B'!A56</f>
        <v>2</v>
      </c>
      <c r="B56" s="41">
        <f>'2018-B'!B56</f>
        <v>43415</v>
      </c>
      <c r="C56" s="297" t="str">
        <f>'2018-B'!C56</f>
        <v>Last Judgment</v>
      </c>
      <c r="D56" s="8" t="str">
        <f>'2018-B'!G57</f>
        <v/>
      </c>
      <c r="E56" s="43"/>
      <c r="F56" s="43"/>
      <c r="G56" s="44"/>
    </row>
    <row r="57" spans="1:7" ht="15.05">
      <c r="A57" s="16">
        <f>'2018-B'!A57</f>
        <v>3</v>
      </c>
      <c r="B57" s="41">
        <f>'2018-B'!B57</f>
        <v>43422</v>
      </c>
      <c r="C57" s="297" t="str">
        <f>'2018-B'!C57</f>
        <v>Saints Triumphant</v>
      </c>
      <c r="D57" s="8" t="str">
        <f>'2018-B'!G58</f>
        <v/>
      </c>
      <c r="E57" s="43"/>
      <c r="F57" s="43"/>
      <c r="G57" s="44"/>
    </row>
    <row r="58" spans="1:7" ht="15.05">
      <c r="A58" s="16">
        <f>'2018-B'!A58</f>
        <v>0</v>
      </c>
      <c r="B58" s="41">
        <f>'2018-B'!B58</f>
        <v>43425</v>
      </c>
      <c r="C58" s="43" t="str">
        <f>'2018-B'!C58</f>
        <v>Thanksgiving</v>
      </c>
      <c r="D58" s="8" t="str">
        <f>'2018-B'!G59</f>
        <v/>
      </c>
      <c r="E58" s="43"/>
      <c r="F58" s="43"/>
      <c r="G58" s="45"/>
    </row>
    <row r="59" spans="1:7" ht="15.05">
      <c r="A59" s="16">
        <f>'2018-B'!A59</f>
        <v>0</v>
      </c>
      <c r="B59" s="173">
        <f>'2018-B'!B59</f>
        <v>43426</v>
      </c>
      <c r="C59" s="114" t="str">
        <f>'2018-B'!C59</f>
        <v>Thanksgiving</v>
      </c>
      <c r="D59" s="8" t="str">
        <f>'2018-B'!G60</f>
        <v>X</v>
      </c>
      <c r="E59" s="114"/>
      <c r="F59" s="114"/>
      <c r="G59" s="115"/>
    </row>
    <row r="60" spans="1:7" ht="15.05">
      <c r="A60" s="16">
        <f>'2018-B'!A60</f>
        <v>4</v>
      </c>
      <c r="B60" s="173">
        <f>'2018-B'!B60</f>
        <v>43429</v>
      </c>
      <c r="C60" s="114" t="str">
        <f>'2018-B'!C60</f>
        <v>Christ the King</v>
      </c>
      <c r="D60" s="8" t="str">
        <f>'2018-B'!G61</f>
        <v/>
      </c>
      <c r="E60" s="114"/>
      <c r="F60" s="114"/>
      <c r="G60" s="203"/>
    </row>
    <row r="61" spans="1:7" ht="15.05">
      <c r="A61" s="16">
        <f>'2018-B'!A61</f>
        <v>1</v>
      </c>
      <c r="B61" s="37">
        <f>'2018-B'!B61</f>
        <v>43436</v>
      </c>
      <c r="C61" s="20" t="str">
        <f>'2018-B'!C61</f>
        <v>Advent 1C</v>
      </c>
      <c r="D61" s="8">
        <f>'2018-B'!G62</f>
        <v>0</v>
      </c>
      <c r="E61" s="20"/>
      <c r="F61" s="20"/>
      <c r="G61" s="22"/>
    </row>
    <row r="62" spans="1:7" ht="15.05">
      <c r="A62" s="16">
        <f>'2018-B'!A62</f>
        <v>2</v>
      </c>
      <c r="B62" s="17">
        <f>'2018-B'!B62</f>
        <v>43439</v>
      </c>
      <c r="C62" s="20" t="str">
        <f>'2018-B'!C62</f>
        <v>Midweek Advent 1</v>
      </c>
      <c r="D62" s="8" t="str">
        <f>'2018-B'!G63</f>
        <v>X</v>
      </c>
      <c r="E62" s="20"/>
      <c r="F62" s="20"/>
      <c r="G62" s="22"/>
    </row>
    <row r="63" spans="1:7" ht="15.05">
      <c r="A63" s="16">
        <f>'2018-B'!A63</f>
        <v>2</v>
      </c>
      <c r="B63" s="17">
        <f>'2018-B'!B63</f>
        <v>43443</v>
      </c>
      <c r="C63" s="20" t="str">
        <f>'2018-B'!C63</f>
        <v>Advent 2C</v>
      </c>
      <c r="D63" s="8" t="str">
        <f>'2018-B'!G64</f>
        <v/>
      </c>
      <c r="E63" s="20"/>
      <c r="F63" s="20"/>
      <c r="G63" s="22"/>
    </row>
    <row r="64" spans="1:7" ht="15.05">
      <c r="A64" s="16">
        <f>'2018-B'!A64</f>
        <v>3</v>
      </c>
      <c r="B64" s="17">
        <f>'2018-B'!B64</f>
        <v>43446</v>
      </c>
      <c r="C64" s="20" t="str">
        <f>'2018-B'!C64</f>
        <v>Midweek Advent 2</v>
      </c>
      <c r="D64" s="8" t="str">
        <f>'2018-B'!G65</f>
        <v/>
      </c>
      <c r="E64" s="20"/>
      <c r="F64" s="20"/>
      <c r="G64" s="22"/>
    </row>
    <row r="65" spans="1:7" ht="15.05">
      <c r="A65" s="16">
        <f>'2018-B'!A65</f>
        <v>3</v>
      </c>
      <c r="B65" s="37">
        <f>'2018-B'!B65</f>
        <v>43450</v>
      </c>
      <c r="C65" s="20" t="str">
        <f>'2018-B'!C65</f>
        <v>Advent 3C</v>
      </c>
      <c r="D65" s="8" t="str">
        <f>'2018-B'!G66</f>
        <v/>
      </c>
      <c r="E65" s="20"/>
      <c r="F65" s="20"/>
      <c r="G65" s="22"/>
    </row>
    <row r="66" spans="1:7" ht="15.05">
      <c r="A66" s="16">
        <f>'2018-B'!A66</f>
        <v>3</v>
      </c>
      <c r="B66" s="216">
        <f>'2018-B'!B66</f>
        <v>43450</v>
      </c>
      <c r="C66" s="218" t="str">
        <f>'2018-B'!C66</f>
        <v>Midweek Advent 3</v>
      </c>
      <c r="D66" s="8" t="str">
        <f>'2018-B'!G67</f>
        <v>X</v>
      </c>
      <c r="E66" s="218"/>
      <c r="F66" s="218"/>
      <c r="G66" s="219"/>
    </row>
    <row r="67" spans="1:7" ht="15.05">
      <c r="A67" s="16">
        <f>'2018-B'!A67</f>
        <v>4</v>
      </c>
      <c r="B67" s="229">
        <f>'2018-B'!B67</f>
        <v>43457</v>
      </c>
      <c r="C67" s="218" t="str">
        <f>'2018-B'!C67</f>
        <v>Advent 4C</v>
      </c>
      <c r="D67" s="8" t="str">
        <f>'2018-B'!G68</f>
        <v/>
      </c>
      <c r="E67" s="218"/>
      <c r="F67" s="218"/>
      <c r="G67" s="220"/>
    </row>
    <row r="68" spans="1:7" ht="15.05">
      <c r="A68" s="16">
        <f>'2018-B'!A68</f>
        <v>0</v>
      </c>
      <c r="B68" s="216">
        <f>'2018-B'!B68</f>
        <v>43458</v>
      </c>
      <c r="C68" s="218" t="str">
        <f>'2018-B'!C68</f>
        <v>Christmas Eve Lessons and Carols</v>
      </c>
      <c r="D68" s="8" t="str">
        <f>'2018-B'!G69</f>
        <v/>
      </c>
      <c r="E68" s="218"/>
      <c r="F68" s="218"/>
      <c r="G68" s="220"/>
    </row>
    <row r="69" spans="1:7" ht="15.05">
      <c r="A69" s="16">
        <f>'2018-B'!A69</f>
        <v>0</v>
      </c>
      <c r="B69" s="229">
        <f>'2018-B'!B69</f>
        <v>43458</v>
      </c>
      <c r="C69" s="218" t="str">
        <f>'2018-B'!C69</f>
        <v>Christmas Eve Candlelight</v>
      </c>
      <c r="D69" s="8" t="str">
        <f>'2018-B'!G70</f>
        <v>X</v>
      </c>
      <c r="E69" s="218"/>
      <c r="F69" s="218"/>
      <c r="G69" s="219"/>
    </row>
    <row r="70" spans="1:7" ht="15.05">
      <c r="A70" s="16">
        <f>'2018-B'!A70</f>
        <v>0</v>
      </c>
      <c r="B70" s="216">
        <f>'2018-B'!B70</f>
        <v>43459</v>
      </c>
      <c r="C70" s="218" t="str">
        <f>'2018-B'!C70</f>
        <v xml:space="preserve">Christmas Day </v>
      </c>
      <c r="D70" s="8" t="str">
        <f>'2018-B'!G71</f>
        <v>X</v>
      </c>
      <c r="E70" s="218"/>
      <c r="F70" s="218"/>
      <c r="G70" s="219"/>
    </row>
    <row r="71" spans="1:7" ht="15.05">
      <c r="A71" s="16">
        <f>'2018-B'!A71</f>
        <v>4</v>
      </c>
      <c r="B71" s="229">
        <f>'2018-B'!B71</f>
        <v>43457</v>
      </c>
      <c r="C71" s="218" t="str">
        <f>'2018-B'!C71</f>
        <v>Christmas 1C</v>
      </c>
      <c r="D71" s="8" t="str">
        <f>'2018-B'!G72</f>
        <v>X</v>
      </c>
      <c r="E71" s="218"/>
      <c r="F71" s="218"/>
      <c r="G71" s="220"/>
    </row>
    <row r="72" spans="1:7" ht="12.55">
      <c r="D72" s="248"/>
    </row>
    <row r="73" spans="1:7" ht="12.55">
      <c r="D73" s="248"/>
    </row>
    <row r="74" spans="1:7" ht="12.55">
      <c r="D74" s="248"/>
    </row>
    <row r="75" spans="1:7" ht="12.55">
      <c r="D75" s="248"/>
    </row>
    <row r="76" spans="1:7" ht="12.55">
      <c r="D76" s="248"/>
    </row>
    <row r="77" spans="1:7" ht="12.55">
      <c r="D77" s="248"/>
    </row>
    <row r="78" spans="1:7" ht="12.55">
      <c r="D78" s="248"/>
    </row>
    <row r="79" spans="1:7" ht="12.55">
      <c r="D79" s="248"/>
    </row>
    <row r="80" spans="1:7" ht="12.55">
      <c r="D80" s="248"/>
    </row>
    <row r="81" spans="4:4" ht="12.55">
      <c r="D81" s="248"/>
    </row>
    <row r="82" spans="4:4" ht="12.55">
      <c r="D82" s="248"/>
    </row>
    <row r="83" spans="4:4" ht="12.55">
      <c r="D83" s="248"/>
    </row>
    <row r="84" spans="4:4" ht="12.55">
      <c r="D84" s="248"/>
    </row>
    <row r="85" spans="4:4" ht="12.55">
      <c r="D85" s="248"/>
    </row>
    <row r="86" spans="4:4" ht="12.55">
      <c r="D86" s="248"/>
    </row>
    <row r="87" spans="4:4" ht="12.55">
      <c r="D87" s="248"/>
    </row>
    <row r="88" spans="4:4" ht="12.55">
      <c r="D88" s="248"/>
    </row>
    <row r="89" spans="4:4" ht="12.55">
      <c r="D89" s="248"/>
    </row>
    <row r="90" spans="4:4" ht="12.55">
      <c r="D90" s="248"/>
    </row>
    <row r="91" spans="4:4" ht="12.55">
      <c r="D91" s="248"/>
    </row>
    <row r="92" spans="4:4" ht="12.55">
      <c r="D92" s="248"/>
    </row>
    <row r="93" spans="4:4" ht="12.55">
      <c r="D93" s="248"/>
    </row>
    <row r="94" spans="4:4" ht="12.55">
      <c r="D94" s="248"/>
    </row>
    <row r="95" spans="4:4" ht="12.55">
      <c r="D95" s="248"/>
    </row>
    <row r="96" spans="4:4" ht="12.55">
      <c r="D96" s="248"/>
    </row>
    <row r="97" spans="4:4" ht="12.55">
      <c r="D97" s="248"/>
    </row>
    <row r="98" spans="4:4" ht="12.55">
      <c r="D98" s="248"/>
    </row>
    <row r="99" spans="4:4" ht="12.55">
      <c r="D99" s="248"/>
    </row>
    <row r="100" spans="4:4" ht="12.55">
      <c r="D100" s="248"/>
    </row>
    <row r="101" spans="4:4" ht="12.55">
      <c r="D101" s="248"/>
    </row>
    <row r="102" spans="4:4" ht="12.55">
      <c r="D102" s="248"/>
    </row>
    <row r="103" spans="4:4" ht="12.55">
      <c r="D103" s="248"/>
    </row>
    <row r="104" spans="4:4" ht="12.55">
      <c r="D104" s="248"/>
    </row>
    <row r="105" spans="4:4" ht="12.55">
      <c r="D105" s="248"/>
    </row>
    <row r="106" spans="4:4" ht="12.55">
      <c r="D106" s="248"/>
    </row>
    <row r="107" spans="4:4" ht="12.55">
      <c r="D107" s="248"/>
    </row>
    <row r="108" spans="4:4" ht="12.55">
      <c r="D108" s="248"/>
    </row>
    <row r="109" spans="4:4" ht="12.55">
      <c r="D109" s="248"/>
    </row>
    <row r="110" spans="4:4" ht="12.55">
      <c r="D110" s="248"/>
    </row>
    <row r="111" spans="4:4" ht="12.55">
      <c r="D111" s="248"/>
    </row>
    <row r="112" spans="4:4" ht="12.55">
      <c r="D112" s="248"/>
    </row>
    <row r="113" spans="4:4" ht="12.55">
      <c r="D113" s="248"/>
    </row>
    <row r="114" spans="4:4" ht="12.55">
      <c r="D114" s="248"/>
    </row>
    <row r="115" spans="4:4" ht="12.55">
      <c r="D115" s="248"/>
    </row>
    <row r="116" spans="4:4" ht="12.55">
      <c r="D116" s="248"/>
    </row>
    <row r="117" spans="4:4" ht="12.55">
      <c r="D117" s="248"/>
    </row>
    <row r="118" spans="4:4" ht="12.55">
      <c r="D118" s="248"/>
    </row>
    <row r="119" spans="4:4" ht="12.55">
      <c r="D119" s="248"/>
    </row>
    <row r="120" spans="4:4" ht="12.55">
      <c r="D120" s="248"/>
    </row>
    <row r="121" spans="4:4" ht="12.55">
      <c r="D121" s="248"/>
    </row>
    <row r="122" spans="4:4" ht="12.55">
      <c r="D122" s="248"/>
    </row>
    <row r="123" spans="4:4" ht="12.55">
      <c r="D123" s="248"/>
    </row>
    <row r="124" spans="4:4" ht="12.55">
      <c r="D124" s="248"/>
    </row>
    <row r="125" spans="4:4" ht="12.55">
      <c r="D125" s="248"/>
    </row>
    <row r="126" spans="4:4" ht="12.55">
      <c r="D126" s="248"/>
    </row>
    <row r="127" spans="4:4" ht="12.55">
      <c r="D127" s="248"/>
    </row>
    <row r="128" spans="4:4" ht="12.55">
      <c r="D128" s="248"/>
    </row>
    <row r="129" spans="4:4" ht="12.55">
      <c r="D129" s="248"/>
    </row>
    <row r="130" spans="4:4" ht="12.55">
      <c r="D130" s="248"/>
    </row>
    <row r="131" spans="4:4" ht="12.55">
      <c r="D131" s="248"/>
    </row>
    <row r="132" spans="4:4" ht="12.55">
      <c r="D132" s="248"/>
    </row>
    <row r="133" spans="4:4" ht="12.55">
      <c r="D133" s="248"/>
    </row>
    <row r="134" spans="4:4" ht="12.55">
      <c r="D134" s="248"/>
    </row>
    <row r="135" spans="4:4" ht="12.55">
      <c r="D135" s="248"/>
    </row>
    <row r="136" spans="4:4" ht="12.55">
      <c r="D136" s="248"/>
    </row>
    <row r="137" spans="4:4" ht="12.55">
      <c r="D137" s="248"/>
    </row>
    <row r="138" spans="4:4" ht="12.55">
      <c r="D138" s="248"/>
    </row>
    <row r="139" spans="4:4" ht="12.55">
      <c r="D139" s="248"/>
    </row>
    <row r="140" spans="4:4" ht="12.55">
      <c r="D140" s="248"/>
    </row>
    <row r="141" spans="4:4" ht="12.55">
      <c r="D141" s="248"/>
    </row>
    <row r="142" spans="4:4" ht="12.55">
      <c r="D142" s="248"/>
    </row>
    <row r="143" spans="4:4" ht="12.55">
      <c r="D143" s="248"/>
    </row>
    <row r="144" spans="4:4" ht="12.55">
      <c r="D144" s="248"/>
    </row>
    <row r="145" spans="4:4" ht="12.55">
      <c r="D145" s="248"/>
    </row>
    <row r="146" spans="4:4" ht="12.55">
      <c r="D146" s="248"/>
    </row>
    <row r="147" spans="4:4" ht="12.55">
      <c r="D147" s="248"/>
    </row>
    <row r="148" spans="4:4" ht="12.55">
      <c r="D148" s="248"/>
    </row>
    <row r="149" spans="4:4" ht="12.55">
      <c r="D149" s="248"/>
    </row>
    <row r="150" spans="4:4" ht="12.55">
      <c r="D150" s="248"/>
    </row>
    <row r="151" spans="4:4" ht="12.55">
      <c r="D151" s="248"/>
    </row>
    <row r="152" spans="4:4" ht="12.55">
      <c r="D152" s="248"/>
    </row>
    <row r="153" spans="4:4" ht="12.55">
      <c r="D153" s="248"/>
    </row>
    <row r="154" spans="4:4" ht="12.55">
      <c r="D154" s="248"/>
    </row>
    <row r="155" spans="4:4" ht="12.55">
      <c r="D155" s="248"/>
    </row>
    <row r="156" spans="4:4" ht="12.55">
      <c r="D156" s="248"/>
    </row>
    <row r="157" spans="4:4" ht="12.55">
      <c r="D157" s="248"/>
    </row>
    <row r="158" spans="4:4" ht="12.55">
      <c r="D158" s="248"/>
    </row>
    <row r="159" spans="4:4" ht="12.55">
      <c r="D159" s="248"/>
    </row>
    <row r="160" spans="4:4" ht="12.55">
      <c r="D160" s="248"/>
    </row>
    <row r="161" spans="4:4" ht="12.55">
      <c r="D161" s="248"/>
    </row>
    <row r="162" spans="4:4" ht="12.55">
      <c r="D162" s="248"/>
    </row>
    <row r="163" spans="4:4" ht="12.55">
      <c r="D163" s="248"/>
    </row>
    <row r="164" spans="4:4" ht="12.55">
      <c r="D164" s="248"/>
    </row>
    <row r="165" spans="4:4" ht="12.55">
      <c r="D165" s="248"/>
    </row>
    <row r="166" spans="4:4" ht="12.55">
      <c r="D166" s="248"/>
    </row>
    <row r="167" spans="4:4" ht="12.55">
      <c r="D167" s="248"/>
    </row>
    <row r="168" spans="4:4" ht="12.55">
      <c r="D168" s="248"/>
    </row>
    <row r="169" spans="4:4" ht="12.55">
      <c r="D169" s="248"/>
    </row>
    <row r="170" spans="4:4" ht="12.55">
      <c r="D170" s="248"/>
    </row>
    <row r="171" spans="4:4" ht="12.55">
      <c r="D171" s="248"/>
    </row>
    <row r="172" spans="4:4" ht="12.55">
      <c r="D172" s="248"/>
    </row>
    <row r="173" spans="4:4" ht="12.55">
      <c r="D173" s="248"/>
    </row>
    <row r="174" spans="4:4" ht="12.55">
      <c r="D174" s="248"/>
    </row>
    <row r="175" spans="4:4" ht="12.55">
      <c r="D175" s="248"/>
    </row>
    <row r="176" spans="4:4" ht="12.55">
      <c r="D176" s="248"/>
    </row>
    <row r="177" spans="4:4" ht="12.55">
      <c r="D177" s="248"/>
    </row>
    <row r="178" spans="4:4" ht="12.55">
      <c r="D178" s="248"/>
    </row>
    <row r="179" spans="4:4" ht="12.55">
      <c r="D179" s="248"/>
    </row>
    <row r="180" spans="4:4" ht="12.55">
      <c r="D180" s="248"/>
    </row>
    <row r="181" spans="4:4" ht="12.55">
      <c r="D181" s="248"/>
    </row>
    <row r="182" spans="4:4" ht="12.55">
      <c r="D182" s="248"/>
    </row>
    <row r="183" spans="4:4" ht="12.55">
      <c r="D183" s="248"/>
    </row>
    <row r="184" spans="4:4" ht="12.55">
      <c r="D184" s="248"/>
    </row>
    <row r="185" spans="4:4" ht="12.55">
      <c r="D185" s="248"/>
    </row>
    <row r="186" spans="4:4" ht="12.55">
      <c r="D186" s="248"/>
    </row>
    <row r="187" spans="4:4" ht="12.55">
      <c r="D187" s="248"/>
    </row>
    <row r="188" spans="4:4" ht="12.55">
      <c r="D188" s="248"/>
    </row>
    <row r="189" spans="4:4" ht="12.55">
      <c r="D189" s="248"/>
    </row>
    <row r="190" spans="4:4" ht="12.55">
      <c r="D190" s="248"/>
    </row>
    <row r="191" spans="4:4" ht="12.55">
      <c r="D191" s="248"/>
    </row>
    <row r="192" spans="4:4" ht="12.55">
      <c r="D192" s="248"/>
    </row>
    <row r="193" spans="4:4" ht="12.55">
      <c r="D193" s="248"/>
    </row>
    <row r="194" spans="4:4" ht="12.55">
      <c r="D194" s="248"/>
    </row>
    <row r="195" spans="4:4" ht="12.55">
      <c r="D195" s="248"/>
    </row>
    <row r="196" spans="4:4" ht="12.55">
      <c r="D196" s="248"/>
    </row>
    <row r="197" spans="4:4" ht="12.55">
      <c r="D197" s="248"/>
    </row>
    <row r="198" spans="4:4" ht="12.55">
      <c r="D198" s="248"/>
    </row>
    <row r="199" spans="4:4" ht="12.55">
      <c r="D199" s="248"/>
    </row>
    <row r="200" spans="4:4" ht="12.55">
      <c r="D200" s="248"/>
    </row>
    <row r="201" spans="4:4" ht="12.55">
      <c r="D201" s="248"/>
    </row>
    <row r="202" spans="4:4" ht="12.55">
      <c r="D202" s="248"/>
    </row>
    <row r="203" spans="4:4" ht="12.55">
      <c r="D203" s="248"/>
    </row>
    <row r="204" spans="4:4" ht="12.55">
      <c r="D204" s="248"/>
    </row>
    <row r="205" spans="4:4" ht="12.55">
      <c r="D205" s="248"/>
    </row>
    <row r="206" spans="4:4" ht="12.55">
      <c r="D206" s="248"/>
    </row>
    <row r="207" spans="4:4" ht="12.55">
      <c r="D207" s="248"/>
    </row>
    <row r="208" spans="4:4" ht="12.55">
      <c r="D208" s="248"/>
    </row>
    <row r="209" spans="4:4" ht="12.55">
      <c r="D209" s="248"/>
    </row>
    <row r="210" spans="4:4" ht="12.55">
      <c r="D210" s="248"/>
    </row>
    <row r="211" spans="4:4" ht="12.55">
      <c r="D211" s="248"/>
    </row>
    <row r="212" spans="4:4" ht="12.55">
      <c r="D212" s="248"/>
    </row>
    <row r="213" spans="4:4" ht="12.55">
      <c r="D213" s="248"/>
    </row>
    <row r="214" spans="4:4" ht="12.55">
      <c r="D214" s="248"/>
    </row>
    <row r="215" spans="4:4" ht="12.55">
      <c r="D215" s="248"/>
    </row>
    <row r="216" spans="4:4" ht="12.55">
      <c r="D216" s="248"/>
    </row>
    <row r="217" spans="4:4" ht="12.55">
      <c r="D217" s="248"/>
    </row>
    <row r="218" spans="4:4" ht="12.55">
      <c r="D218" s="248"/>
    </row>
    <row r="219" spans="4:4" ht="12.55">
      <c r="D219" s="248"/>
    </row>
    <row r="220" spans="4:4" ht="12.55">
      <c r="D220" s="248"/>
    </row>
    <row r="221" spans="4:4" ht="12.55">
      <c r="D221" s="248"/>
    </row>
    <row r="222" spans="4:4" ht="12.55">
      <c r="D222" s="248"/>
    </row>
    <row r="223" spans="4:4" ht="12.55">
      <c r="D223" s="248"/>
    </row>
    <row r="224" spans="4:4" ht="12.55">
      <c r="D224" s="248"/>
    </row>
    <row r="225" spans="4:4" ht="12.55">
      <c r="D225" s="248"/>
    </row>
    <row r="226" spans="4:4" ht="12.55">
      <c r="D226" s="248"/>
    </row>
    <row r="227" spans="4:4" ht="12.55">
      <c r="D227" s="248"/>
    </row>
    <row r="228" spans="4:4" ht="12.55">
      <c r="D228" s="248"/>
    </row>
    <row r="229" spans="4:4" ht="12.55">
      <c r="D229" s="248"/>
    </row>
    <row r="230" spans="4:4" ht="12.55">
      <c r="D230" s="248"/>
    </row>
    <row r="231" spans="4:4" ht="12.55">
      <c r="D231" s="248"/>
    </row>
    <row r="232" spans="4:4" ht="12.55">
      <c r="D232" s="248"/>
    </row>
    <row r="233" spans="4:4" ht="12.55">
      <c r="D233" s="248"/>
    </row>
    <row r="234" spans="4:4" ht="12.55">
      <c r="D234" s="248"/>
    </row>
    <row r="235" spans="4:4" ht="12.55">
      <c r="D235" s="248"/>
    </row>
    <row r="236" spans="4:4" ht="12.55">
      <c r="D236" s="248"/>
    </row>
    <row r="237" spans="4:4" ht="12.55">
      <c r="D237" s="248"/>
    </row>
    <row r="238" spans="4:4" ht="12.55">
      <c r="D238" s="248"/>
    </row>
    <row r="239" spans="4:4" ht="12.55">
      <c r="D239" s="248"/>
    </row>
    <row r="240" spans="4:4" ht="12.55">
      <c r="D240" s="248"/>
    </row>
    <row r="241" spans="4:4" ht="12.55">
      <c r="D241" s="248"/>
    </row>
    <row r="242" spans="4:4" ht="12.55">
      <c r="D242" s="248"/>
    </row>
    <row r="243" spans="4:4" ht="12.55">
      <c r="D243" s="248"/>
    </row>
    <row r="244" spans="4:4" ht="12.55">
      <c r="D244" s="248"/>
    </row>
    <row r="245" spans="4:4" ht="12.55">
      <c r="D245" s="248"/>
    </row>
    <row r="246" spans="4:4" ht="12.55">
      <c r="D246" s="248"/>
    </row>
    <row r="247" spans="4:4" ht="12.55">
      <c r="D247" s="248"/>
    </row>
    <row r="248" spans="4:4" ht="12.55">
      <c r="D248" s="248"/>
    </row>
    <row r="249" spans="4:4" ht="12.55">
      <c r="D249" s="248"/>
    </row>
    <row r="250" spans="4:4" ht="12.55">
      <c r="D250" s="248"/>
    </row>
    <row r="251" spans="4:4" ht="12.55">
      <c r="D251" s="248"/>
    </row>
    <row r="252" spans="4:4" ht="12.55">
      <c r="D252" s="248"/>
    </row>
    <row r="253" spans="4:4" ht="12.55">
      <c r="D253" s="248"/>
    </row>
    <row r="254" spans="4:4" ht="12.55">
      <c r="D254" s="248"/>
    </row>
    <row r="255" spans="4:4" ht="12.55">
      <c r="D255" s="248"/>
    </row>
    <row r="256" spans="4:4" ht="12.55">
      <c r="D256" s="248"/>
    </row>
    <row r="257" spans="4:4" ht="12.55">
      <c r="D257" s="248"/>
    </row>
    <row r="258" spans="4:4" ht="12.55">
      <c r="D258" s="248"/>
    </row>
    <row r="259" spans="4:4" ht="12.55">
      <c r="D259" s="248"/>
    </row>
    <row r="260" spans="4:4" ht="12.55">
      <c r="D260" s="248"/>
    </row>
    <row r="261" spans="4:4" ht="12.55">
      <c r="D261" s="248"/>
    </row>
    <row r="262" spans="4:4" ht="12.55">
      <c r="D262" s="248"/>
    </row>
    <row r="263" spans="4:4" ht="12.55">
      <c r="D263" s="248"/>
    </row>
    <row r="264" spans="4:4" ht="12.55">
      <c r="D264" s="248"/>
    </row>
    <row r="265" spans="4:4" ht="12.55">
      <c r="D265" s="248"/>
    </row>
    <row r="266" spans="4:4" ht="12.55">
      <c r="D266" s="248"/>
    </row>
    <row r="267" spans="4:4" ht="12.55">
      <c r="D267" s="248"/>
    </row>
    <row r="268" spans="4:4" ht="12.55">
      <c r="D268" s="248"/>
    </row>
    <row r="269" spans="4:4" ht="12.55">
      <c r="D269" s="248"/>
    </row>
    <row r="270" spans="4:4" ht="12.55">
      <c r="D270" s="248"/>
    </row>
    <row r="271" spans="4:4" ht="12.55">
      <c r="D271" s="248"/>
    </row>
    <row r="272" spans="4:4" ht="12.55">
      <c r="D272" s="248"/>
    </row>
    <row r="273" spans="4:4" ht="12.55">
      <c r="D273" s="248"/>
    </row>
    <row r="274" spans="4:4" ht="12.55">
      <c r="D274" s="248"/>
    </row>
    <row r="275" spans="4:4" ht="12.55">
      <c r="D275" s="248"/>
    </row>
    <row r="276" spans="4:4" ht="12.55">
      <c r="D276" s="248"/>
    </row>
    <row r="277" spans="4:4" ht="12.55">
      <c r="D277" s="248"/>
    </row>
    <row r="278" spans="4:4" ht="12.55">
      <c r="D278" s="248"/>
    </row>
    <row r="279" spans="4:4" ht="12.55">
      <c r="D279" s="248"/>
    </row>
    <row r="280" spans="4:4" ht="12.55">
      <c r="D280" s="248"/>
    </row>
    <row r="281" spans="4:4" ht="12.55">
      <c r="D281" s="248"/>
    </row>
    <row r="282" spans="4:4" ht="12.55">
      <c r="D282" s="248"/>
    </row>
    <row r="283" spans="4:4" ht="12.55">
      <c r="D283" s="248"/>
    </row>
    <row r="284" spans="4:4" ht="12.55">
      <c r="D284" s="248"/>
    </row>
    <row r="285" spans="4:4" ht="12.55">
      <c r="D285" s="248"/>
    </row>
    <row r="286" spans="4:4" ht="12.55">
      <c r="D286" s="248"/>
    </row>
    <row r="287" spans="4:4" ht="12.55">
      <c r="D287" s="248"/>
    </row>
    <row r="288" spans="4:4" ht="12.55">
      <c r="D288" s="248"/>
    </row>
    <row r="289" spans="4:4" ht="12.55">
      <c r="D289" s="248"/>
    </row>
    <row r="290" spans="4:4" ht="12.55">
      <c r="D290" s="248"/>
    </row>
    <row r="291" spans="4:4" ht="12.55">
      <c r="D291" s="248"/>
    </row>
    <row r="292" spans="4:4" ht="12.55">
      <c r="D292" s="248"/>
    </row>
    <row r="293" spans="4:4" ht="12.55">
      <c r="D293" s="248"/>
    </row>
    <row r="294" spans="4:4" ht="12.55">
      <c r="D294" s="248"/>
    </row>
    <row r="295" spans="4:4" ht="12.55">
      <c r="D295" s="248"/>
    </row>
    <row r="296" spans="4:4" ht="12.55">
      <c r="D296" s="248"/>
    </row>
    <row r="297" spans="4:4" ht="12.55">
      <c r="D297" s="248"/>
    </row>
    <row r="298" spans="4:4" ht="12.55">
      <c r="D298" s="248"/>
    </row>
    <row r="299" spans="4:4" ht="12.55">
      <c r="D299" s="248"/>
    </row>
    <row r="300" spans="4:4" ht="12.55">
      <c r="D300" s="248"/>
    </row>
    <row r="301" spans="4:4" ht="12.55">
      <c r="D301" s="248"/>
    </row>
    <row r="302" spans="4:4" ht="12.55">
      <c r="D302" s="248"/>
    </row>
    <row r="303" spans="4:4" ht="12.55">
      <c r="D303" s="248"/>
    </row>
    <row r="304" spans="4:4" ht="12.55">
      <c r="D304" s="248"/>
    </row>
    <row r="305" spans="4:4" ht="12.55">
      <c r="D305" s="248"/>
    </row>
    <row r="306" spans="4:4" ht="12.55">
      <c r="D306" s="248"/>
    </row>
    <row r="307" spans="4:4" ht="12.55">
      <c r="D307" s="248"/>
    </row>
    <row r="308" spans="4:4" ht="12.55">
      <c r="D308" s="248"/>
    </row>
    <row r="309" spans="4:4" ht="12.55">
      <c r="D309" s="248"/>
    </row>
    <row r="310" spans="4:4" ht="12.55">
      <c r="D310" s="248"/>
    </row>
    <row r="311" spans="4:4" ht="12.55">
      <c r="D311" s="248"/>
    </row>
    <row r="312" spans="4:4" ht="12.55">
      <c r="D312" s="248"/>
    </row>
    <row r="313" spans="4:4" ht="12.55">
      <c r="D313" s="248"/>
    </row>
    <row r="314" spans="4:4" ht="12.55">
      <c r="D314" s="248"/>
    </row>
    <row r="315" spans="4:4" ht="12.55">
      <c r="D315" s="248"/>
    </row>
    <row r="316" spans="4:4" ht="12.55">
      <c r="D316" s="248"/>
    </row>
    <row r="317" spans="4:4" ht="12.55">
      <c r="D317" s="248"/>
    </row>
    <row r="318" spans="4:4" ht="12.55">
      <c r="D318" s="248"/>
    </row>
    <row r="319" spans="4:4" ht="12.55">
      <c r="D319" s="248"/>
    </row>
    <row r="320" spans="4:4" ht="12.55">
      <c r="D320" s="248"/>
    </row>
    <row r="321" spans="4:4" ht="12.55">
      <c r="D321" s="248"/>
    </row>
    <row r="322" spans="4:4" ht="12.55">
      <c r="D322" s="248"/>
    </row>
    <row r="323" spans="4:4" ht="12.55">
      <c r="D323" s="248"/>
    </row>
    <row r="324" spans="4:4" ht="12.55">
      <c r="D324" s="248"/>
    </row>
    <row r="325" spans="4:4" ht="12.55">
      <c r="D325" s="248"/>
    </row>
    <row r="326" spans="4:4" ht="12.55">
      <c r="D326" s="248"/>
    </row>
    <row r="327" spans="4:4" ht="12.55">
      <c r="D327" s="248"/>
    </row>
    <row r="328" spans="4:4" ht="12.55">
      <c r="D328" s="248"/>
    </row>
    <row r="329" spans="4:4" ht="12.55">
      <c r="D329" s="248"/>
    </row>
    <row r="330" spans="4:4" ht="12.55">
      <c r="D330" s="248"/>
    </row>
    <row r="331" spans="4:4" ht="12.55">
      <c r="D331" s="248"/>
    </row>
    <row r="332" spans="4:4" ht="12.55">
      <c r="D332" s="248"/>
    </row>
    <row r="333" spans="4:4" ht="12.55">
      <c r="D333" s="248"/>
    </row>
    <row r="334" spans="4:4" ht="12.55">
      <c r="D334" s="248"/>
    </row>
    <row r="335" spans="4:4" ht="12.55">
      <c r="D335" s="248"/>
    </row>
    <row r="336" spans="4:4" ht="12.55">
      <c r="D336" s="248"/>
    </row>
    <row r="337" spans="4:4" ht="12.55">
      <c r="D337" s="248"/>
    </row>
    <row r="338" spans="4:4" ht="12.55">
      <c r="D338" s="248"/>
    </row>
    <row r="339" spans="4:4" ht="12.55">
      <c r="D339" s="248"/>
    </row>
    <row r="340" spans="4:4" ht="12.55">
      <c r="D340" s="248"/>
    </row>
    <row r="341" spans="4:4" ht="12.55">
      <c r="D341" s="248"/>
    </row>
    <row r="342" spans="4:4" ht="12.55">
      <c r="D342" s="248"/>
    </row>
    <row r="343" spans="4:4" ht="12.55">
      <c r="D343" s="248"/>
    </row>
    <row r="344" spans="4:4" ht="12.55">
      <c r="D344" s="248"/>
    </row>
    <row r="345" spans="4:4" ht="12.55">
      <c r="D345" s="248"/>
    </row>
    <row r="346" spans="4:4" ht="12.55">
      <c r="D346" s="248"/>
    </row>
    <row r="347" spans="4:4" ht="12.55">
      <c r="D347" s="248"/>
    </row>
    <row r="348" spans="4:4" ht="12.55">
      <c r="D348" s="248"/>
    </row>
    <row r="349" spans="4:4" ht="12.55">
      <c r="D349" s="248"/>
    </row>
    <row r="350" spans="4:4" ht="12.55">
      <c r="D350" s="248"/>
    </row>
    <row r="351" spans="4:4" ht="12.55">
      <c r="D351" s="248"/>
    </row>
    <row r="352" spans="4:4" ht="12.55">
      <c r="D352" s="248"/>
    </row>
    <row r="353" spans="4:4" ht="12.55">
      <c r="D353" s="248"/>
    </row>
    <row r="354" spans="4:4" ht="12.55">
      <c r="D354" s="248"/>
    </row>
    <row r="355" spans="4:4" ht="12.55">
      <c r="D355" s="248"/>
    </row>
    <row r="356" spans="4:4" ht="12.55">
      <c r="D356" s="248"/>
    </row>
    <row r="357" spans="4:4" ht="12.55">
      <c r="D357" s="248"/>
    </row>
    <row r="358" spans="4:4" ht="12.55">
      <c r="D358" s="248"/>
    </row>
    <row r="359" spans="4:4" ht="12.55">
      <c r="D359" s="248"/>
    </row>
    <row r="360" spans="4:4" ht="12.55">
      <c r="D360" s="248"/>
    </row>
    <row r="361" spans="4:4" ht="12.55">
      <c r="D361" s="248"/>
    </row>
    <row r="362" spans="4:4" ht="12.55">
      <c r="D362" s="248"/>
    </row>
    <row r="363" spans="4:4" ht="12.55">
      <c r="D363" s="248"/>
    </row>
    <row r="364" spans="4:4" ht="12.55">
      <c r="D364" s="248"/>
    </row>
    <row r="365" spans="4:4" ht="12.55">
      <c r="D365" s="248"/>
    </row>
    <row r="366" spans="4:4" ht="12.55">
      <c r="D366" s="248"/>
    </row>
    <row r="367" spans="4:4" ht="12.55">
      <c r="D367" s="248"/>
    </row>
    <row r="368" spans="4:4" ht="12.55">
      <c r="D368" s="248"/>
    </row>
    <row r="369" spans="4:4" ht="12.55">
      <c r="D369" s="248"/>
    </row>
    <row r="370" spans="4:4" ht="12.55">
      <c r="D370" s="248"/>
    </row>
    <row r="371" spans="4:4" ht="12.55">
      <c r="D371" s="248"/>
    </row>
    <row r="372" spans="4:4" ht="12.55">
      <c r="D372" s="248"/>
    </row>
    <row r="373" spans="4:4" ht="12.55">
      <c r="D373" s="248"/>
    </row>
    <row r="374" spans="4:4" ht="12.55">
      <c r="D374" s="248"/>
    </row>
    <row r="375" spans="4:4" ht="12.55">
      <c r="D375" s="248"/>
    </row>
    <row r="376" spans="4:4" ht="12.55">
      <c r="D376" s="248"/>
    </row>
    <row r="377" spans="4:4" ht="12.55">
      <c r="D377" s="248"/>
    </row>
    <row r="378" spans="4:4" ht="12.55">
      <c r="D378" s="248"/>
    </row>
    <row r="379" spans="4:4" ht="12.55">
      <c r="D379" s="248"/>
    </row>
    <row r="380" spans="4:4" ht="12.55">
      <c r="D380" s="248"/>
    </row>
    <row r="381" spans="4:4" ht="12.55">
      <c r="D381" s="248"/>
    </row>
    <row r="382" spans="4:4" ht="12.55">
      <c r="D382" s="248"/>
    </row>
    <row r="383" spans="4:4" ht="12.55">
      <c r="D383" s="248"/>
    </row>
    <row r="384" spans="4:4" ht="12.55">
      <c r="D384" s="248"/>
    </row>
    <row r="385" spans="4:4" ht="12.55">
      <c r="D385" s="248"/>
    </row>
    <row r="386" spans="4:4" ht="12.55">
      <c r="D386" s="248"/>
    </row>
    <row r="387" spans="4:4" ht="12.55">
      <c r="D387" s="248"/>
    </row>
    <row r="388" spans="4:4" ht="12.55">
      <c r="D388" s="248"/>
    </row>
    <row r="389" spans="4:4" ht="12.55">
      <c r="D389" s="248"/>
    </row>
    <row r="390" spans="4:4" ht="12.55">
      <c r="D390" s="248"/>
    </row>
    <row r="391" spans="4:4" ht="12.55">
      <c r="D391" s="248"/>
    </row>
    <row r="392" spans="4:4" ht="12.55">
      <c r="D392" s="248"/>
    </row>
    <row r="393" spans="4:4" ht="12.55">
      <c r="D393" s="248"/>
    </row>
    <row r="394" spans="4:4" ht="12.55">
      <c r="D394" s="248"/>
    </row>
    <row r="395" spans="4:4" ht="12.55">
      <c r="D395" s="248"/>
    </row>
    <row r="396" spans="4:4" ht="12.55">
      <c r="D396" s="248"/>
    </row>
    <row r="397" spans="4:4" ht="12.55">
      <c r="D397" s="248"/>
    </row>
    <row r="398" spans="4:4" ht="12.55">
      <c r="D398" s="248"/>
    </row>
    <row r="399" spans="4:4" ht="12.55">
      <c r="D399" s="248"/>
    </row>
    <row r="400" spans="4:4" ht="12.55">
      <c r="D400" s="248"/>
    </row>
    <row r="401" spans="4:4" ht="12.55">
      <c r="D401" s="248"/>
    </row>
    <row r="402" spans="4:4" ht="12.55">
      <c r="D402" s="248"/>
    </row>
    <row r="403" spans="4:4" ht="12.55">
      <c r="D403" s="248"/>
    </row>
    <row r="404" spans="4:4" ht="12.55">
      <c r="D404" s="248"/>
    </row>
    <row r="405" spans="4:4" ht="12.55">
      <c r="D405" s="248"/>
    </row>
    <row r="406" spans="4:4" ht="12.55">
      <c r="D406" s="248"/>
    </row>
    <row r="407" spans="4:4" ht="12.55">
      <c r="D407" s="248"/>
    </row>
    <row r="408" spans="4:4" ht="12.55">
      <c r="D408" s="248"/>
    </row>
    <row r="409" spans="4:4" ht="12.55">
      <c r="D409" s="248"/>
    </row>
    <row r="410" spans="4:4" ht="12.55">
      <c r="D410" s="248"/>
    </row>
    <row r="411" spans="4:4" ht="12.55">
      <c r="D411" s="248"/>
    </row>
    <row r="412" spans="4:4" ht="12.55">
      <c r="D412" s="248"/>
    </row>
    <row r="413" spans="4:4" ht="12.55">
      <c r="D413" s="248"/>
    </row>
    <row r="414" spans="4:4" ht="12.55">
      <c r="D414" s="248"/>
    </row>
    <row r="415" spans="4:4" ht="12.55">
      <c r="D415" s="248"/>
    </row>
    <row r="416" spans="4:4" ht="12.55">
      <c r="D416" s="248"/>
    </row>
    <row r="417" spans="4:4" ht="12.55">
      <c r="D417" s="248"/>
    </row>
    <row r="418" spans="4:4" ht="12.55">
      <c r="D418" s="248"/>
    </row>
    <row r="419" spans="4:4" ht="12.55">
      <c r="D419" s="248"/>
    </row>
    <row r="420" spans="4:4" ht="12.55">
      <c r="D420" s="248"/>
    </row>
    <row r="421" spans="4:4" ht="12.55">
      <c r="D421" s="248"/>
    </row>
    <row r="422" spans="4:4" ht="12.55">
      <c r="D422" s="248"/>
    </row>
    <row r="423" spans="4:4" ht="12.55">
      <c r="D423" s="248"/>
    </row>
    <row r="424" spans="4:4" ht="12.55">
      <c r="D424" s="248"/>
    </row>
    <row r="425" spans="4:4" ht="12.55">
      <c r="D425" s="248"/>
    </row>
    <row r="426" spans="4:4" ht="12.55">
      <c r="D426" s="248"/>
    </row>
    <row r="427" spans="4:4" ht="12.55">
      <c r="D427" s="248"/>
    </row>
    <row r="428" spans="4:4" ht="12.55">
      <c r="D428" s="248"/>
    </row>
    <row r="429" spans="4:4" ht="12.55">
      <c r="D429" s="248"/>
    </row>
    <row r="430" spans="4:4" ht="12.55">
      <c r="D430" s="248"/>
    </row>
    <row r="431" spans="4:4" ht="12.55">
      <c r="D431" s="248"/>
    </row>
    <row r="432" spans="4:4" ht="12.55">
      <c r="D432" s="248"/>
    </row>
    <row r="433" spans="4:4" ht="12.55">
      <c r="D433" s="248"/>
    </row>
    <row r="434" spans="4:4" ht="12.55">
      <c r="D434" s="248"/>
    </row>
    <row r="435" spans="4:4" ht="12.55">
      <c r="D435" s="248"/>
    </row>
    <row r="436" spans="4:4" ht="12.55">
      <c r="D436" s="248"/>
    </row>
    <row r="437" spans="4:4" ht="12.55">
      <c r="D437" s="248"/>
    </row>
    <row r="438" spans="4:4" ht="12.55">
      <c r="D438" s="248"/>
    </row>
    <row r="439" spans="4:4" ht="12.55">
      <c r="D439" s="248"/>
    </row>
    <row r="440" spans="4:4" ht="12.55">
      <c r="D440" s="248"/>
    </row>
    <row r="441" spans="4:4" ht="12.55">
      <c r="D441" s="248"/>
    </row>
    <row r="442" spans="4:4" ht="12.55">
      <c r="D442" s="248"/>
    </row>
    <row r="443" spans="4:4" ht="12.55">
      <c r="D443" s="248"/>
    </row>
    <row r="444" spans="4:4" ht="12.55">
      <c r="D444" s="248"/>
    </row>
    <row r="445" spans="4:4" ht="12.55">
      <c r="D445" s="248"/>
    </row>
    <row r="446" spans="4:4" ht="12.55">
      <c r="D446" s="248"/>
    </row>
    <row r="447" spans="4:4" ht="12.55">
      <c r="D447" s="248"/>
    </row>
    <row r="448" spans="4:4" ht="12.55">
      <c r="D448" s="248"/>
    </row>
    <row r="449" spans="4:4" ht="12.55">
      <c r="D449" s="248"/>
    </row>
    <row r="450" spans="4:4" ht="12.55">
      <c r="D450" s="248"/>
    </row>
    <row r="451" spans="4:4" ht="12.55">
      <c r="D451" s="248"/>
    </row>
    <row r="452" spans="4:4" ht="12.55">
      <c r="D452" s="248"/>
    </row>
    <row r="453" spans="4:4" ht="12.55">
      <c r="D453" s="248"/>
    </row>
    <row r="454" spans="4:4" ht="12.55">
      <c r="D454" s="248"/>
    </row>
    <row r="455" spans="4:4" ht="12.55">
      <c r="D455" s="248"/>
    </row>
    <row r="456" spans="4:4" ht="12.55">
      <c r="D456" s="248"/>
    </row>
    <row r="457" spans="4:4" ht="12.55">
      <c r="D457" s="248"/>
    </row>
    <row r="458" spans="4:4" ht="12.55">
      <c r="D458" s="248"/>
    </row>
    <row r="459" spans="4:4" ht="12.55">
      <c r="D459" s="248"/>
    </row>
    <row r="460" spans="4:4" ht="12.55">
      <c r="D460" s="248"/>
    </row>
    <row r="461" spans="4:4" ht="12.55">
      <c r="D461" s="248"/>
    </row>
    <row r="462" spans="4:4" ht="12.55">
      <c r="D462" s="248"/>
    </row>
    <row r="463" spans="4:4" ht="12.55">
      <c r="D463" s="248"/>
    </row>
    <row r="464" spans="4:4" ht="12.55">
      <c r="D464" s="248"/>
    </row>
    <row r="465" spans="4:4" ht="12.55">
      <c r="D465" s="248"/>
    </row>
    <row r="466" spans="4:4" ht="12.55">
      <c r="D466" s="248"/>
    </row>
    <row r="467" spans="4:4" ht="12.55">
      <c r="D467" s="248"/>
    </row>
    <row r="468" spans="4:4" ht="12.55">
      <c r="D468" s="248"/>
    </row>
    <row r="469" spans="4:4" ht="12.55">
      <c r="D469" s="248"/>
    </row>
    <row r="470" spans="4:4" ht="12.55">
      <c r="D470" s="248"/>
    </row>
    <row r="471" spans="4:4" ht="12.55">
      <c r="D471" s="248"/>
    </row>
    <row r="472" spans="4:4" ht="12.55">
      <c r="D472" s="248"/>
    </row>
    <row r="473" spans="4:4" ht="12.55">
      <c r="D473" s="248"/>
    </row>
    <row r="474" spans="4:4" ht="12.55">
      <c r="D474" s="248"/>
    </row>
    <row r="475" spans="4:4" ht="12.55">
      <c r="D475" s="248"/>
    </row>
    <row r="476" spans="4:4" ht="12.55">
      <c r="D476" s="248"/>
    </row>
    <row r="477" spans="4:4" ht="12.55">
      <c r="D477" s="248"/>
    </row>
    <row r="478" spans="4:4" ht="12.55">
      <c r="D478" s="248"/>
    </row>
    <row r="479" spans="4:4" ht="12.55">
      <c r="D479" s="248"/>
    </row>
    <row r="480" spans="4:4" ht="12.55">
      <c r="D480" s="248"/>
    </row>
    <row r="481" spans="4:4" ht="12.55">
      <c r="D481" s="248"/>
    </row>
    <row r="482" spans="4:4" ht="12.55">
      <c r="D482" s="248"/>
    </row>
    <row r="483" spans="4:4" ht="12.55">
      <c r="D483" s="248"/>
    </row>
    <row r="484" spans="4:4" ht="12.55">
      <c r="D484" s="248"/>
    </row>
    <row r="485" spans="4:4" ht="12.55">
      <c r="D485" s="248"/>
    </row>
    <row r="486" spans="4:4" ht="12.55">
      <c r="D486" s="248"/>
    </row>
    <row r="487" spans="4:4" ht="12.55">
      <c r="D487" s="248"/>
    </row>
    <row r="488" spans="4:4" ht="12.55">
      <c r="D488" s="248"/>
    </row>
    <row r="489" spans="4:4" ht="12.55">
      <c r="D489" s="248"/>
    </row>
    <row r="490" spans="4:4" ht="12.55">
      <c r="D490" s="248"/>
    </row>
    <row r="491" spans="4:4" ht="12.55">
      <c r="D491" s="248"/>
    </row>
    <row r="492" spans="4:4" ht="12.55">
      <c r="D492" s="248"/>
    </row>
    <row r="493" spans="4:4" ht="12.55">
      <c r="D493" s="248"/>
    </row>
    <row r="494" spans="4:4" ht="12.55">
      <c r="D494" s="248"/>
    </row>
    <row r="495" spans="4:4" ht="12.55">
      <c r="D495" s="248"/>
    </row>
    <row r="496" spans="4:4" ht="12.55">
      <c r="D496" s="248"/>
    </row>
    <row r="497" spans="4:4" ht="12.55">
      <c r="D497" s="248"/>
    </row>
    <row r="498" spans="4:4" ht="12.55">
      <c r="D498" s="248"/>
    </row>
    <row r="499" spans="4:4" ht="12.55">
      <c r="D499" s="248"/>
    </row>
    <row r="500" spans="4:4" ht="12.55">
      <c r="D500" s="248"/>
    </row>
    <row r="501" spans="4:4" ht="12.55">
      <c r="D501" s="248"/>
    </row>
    <row r="502" spans="4:4" ht="12.55">
      <c r="D502" s="248"/>
    </row>
    <row r="503" spans="4:4" ht="12.55">
      <c r="D503" s="248"/>
    </row>
    <row r="504" spans="4:4" ht="12.55">
      <c r="D504" s="248"/>
    </row>
    <row r="505" spans="4:4" ht="12.55">
      <c r="D505" s="248"/>
    </row>
    <row r="506" spans="4:4" ht="12.55">
      <c r="D506" s="248"/>
    </row>
    <row r="507" spans="4:4" ht="12.55">
      <c r="D507" s="248"/>
    </row>
    <row r="508" spans="4:4" ht="12.55">
      <c r="D508" s="248"/>
    </row>
    <row r="509" spans="4:4" ht="12.55">
      <c r="D509" s="248"/>
    </row>
    <row r="510" spans="4:4" ht="12.55">
      <c r="D510" s="248"/>
    </row>
    <row r="511" spans="4:4" ht="12.55">
      <c r="D511" s="248"/>
    </row>
    <row r="512" spans="4:4" ht="12.55">
      <c r="D512" s="248"/>
    </row>
    <row r="513" spans="4:4" ht="12.55">
      <c r="D513" s="248"/>
    </row>
    <row r="514" spans="4:4" ht="12.55">
      <c r="D514" s="248"/>
    </row>
    <row r="515" spans="4:4" ht="12.55">
      <c r="D515" s="248"/>
    </row>
    <row r="516" spans="4:4" ht="12.55">
      <c r="D516" s="248"/>
    </row>
    <row r="517" spans="4:4" ht="12.55">
      <c r="D517" s="248"/>
    </row>
    <row r="518" spans="4:4" ht="12.55">
      <c r="D518" s="248"/>
    </row>
    <row r="519" spans="4:4" ht="12.55">
      <c r="D519" s="248"/>
    </row>
    <row r="520" spans="4:4" ht="12.55">
      <c r="D520" s="248"/>
    </row>
    <row r="521" spans="4:4" ht="12.55">
      <c r="D521" s="248"/>
    </row>
    <row r="522" spans="4:4" ht="12.55">
      <c r="D522" s="248"/>
    </row>
    <row r="523" spans="4:4" ht="12.55">
      <c r="D523" s="248"/>
    </row>
    <row r="524" spans="4:4" ht="12.55">
      <c r="D524" s="248"/>
    </row>
    <row r="525" spans="4:4" ht="12.55">
      <c r="D525" s="248"/>
    </row>
    <row r="526" spans="4:4" ht="12.55">
      <c r="D526" s="248"/>
    </row>
    <row r="527" spans="4:4" ht="12.55">
      <c r="D527" s="248"/>
    </row>
    <row r="528" spans="4:4" ht="12.55">
      <c r="D528" s="248"/>
    </row>
    <row r="529" spans="4:4" ht="12.55">
      <c r="D529" s="248"/>
    </row>
    <row r="530" spans="4:4" ht="12.55">
      <c r="D530" s="248"/>
    </row>
    <row r="531" spans="4:4" ht="12.55">
      <c r="D531" s="248"/>
    </row>
    <row r="532" spans="4:4" ht="12.55">
      <c r="D532" s="248"/>
    </row>
    <row r="533" spans="4:4" ht="12.55">
      <c r="D533" s="248"/>
    </row>
    <row r="534" spans="4:4" ht="12.55">
      <c r="D534" s="248"/>
    </row>
    <row r="535" spans="4:4" ht="12.55">
      <c r="D535" s="248"/>
    </row>
    <row r="536" spans="4:4" ht="12.55">
      <c r="D536" s="248"/>
    </row>
    <row r="537" spans="4:4" ht="12.55">
      <c r="D537" s="248"/>
    </row>
    <row r="538" spans="4:4" ht="12.55">
      <c r="D538" s="248"/>
    </row>
    <row r="539" spans="4:4" ht="12.55">
      <c r="D539" s="248"/>
    </row>
    <row r="540" spans="4:4" ht="12.55">
      <c r="D540" s="248"/>
    </row>
    <row r="541" spans="4:4" ht="12.55">
      <c r="D541" s="248"/>
    </row>
    <row r="542" spans="4:4" ht="12.55">
      <c r="D542" s="248"/>
    </row>
    <row r="543" spans="4:4" ht="12.55">
      <c r="D543" s="248"/>
    </row>
    <row r="544" spans="4:4" ht="12.55">
      <c r="D544" s="248"/>
    </row>
    <row r="545" spans="4:4" ht="12.55">
      <c r="D545" s="248"/>
    </row>
    <row r="546" spans="4:4" ht="12.55">
      <c r="D546" s="248"/>
    </row>
    <row r="547" spans="4:4" ht="12.55">
      <c r="D547" s="248"/>
    </row>
    <row r="548" spans="4:4" ht="12.55">
      <c r="D548" s="248"/>
    </row>
    <row r="549" spans="4:4" ht="12.55">
      <c r="D549" s="248"/>
    </row>
    <row r="550" spans="4:4" ht="12.55">
      <c r="D550" s="248"/>
    </row>
    <row r="551" spans="4:4" ht="12.55">
      <c r="D551" s="248"/>
    </row>
    <row r="552" spans="4:4" ht="12.55">
      <c r="D552" s="248"/>
    </row>
    <row r="553" spans="4:4" ht="12.55">
      <c r="D553" s="248"/>
    </row>
    <row r="554" spans="4:4" ht="12.55">
      <c r="D554" s="248"/>
    </row>
    <row r="555" spans="4:4" ht="12.55">
      <c r="D555" s="248"/>
    </row>
    <row r="556" spans="4:4" ht="12.55">
      <c r="D556" s="248"/>
    </row>
    <row r="557" spans="4:4" ht="12.55">
      <c r="D557" s="248"/>
    </row>
    <row r="558" spans="4:4" ht="12.55">
      <c r="D558" s="248"/>
    </row>
    <row r="559" spans="4:4" ht="12.55">
      <c r="D559" s="248"/>
    </row>
    <row r="560" spans="4:4" ht="12.55">
      <c r="D560" s="248"/>
    </row>
    <row r="561" spans="4:4" ht="12.55">
      <c r="D561" s="248"/>
    </row>
    <row r="562" spans="4:4" ht="12.55">
      <c r="D562" s="248"/>
    </row>
    <row r="563" spans="4:4" ht="12.55">
      <c r="D563" s="248"/>
    </row>
    <row r="564" spans="4:4" ht="12.55">
      <c r="D564" s="248"/>
    </row>
    <row r="565" spans="4:4" ht="12.55">
      <c r="D565" s="248"/>
    </row>
    <row r="566" spans="4:4" ht="12.55">
      <c r="D566" s="248"/>
    </row>
    <row r="567" spans="4:4" ht="12.55">
      <c r="D567" s="248"/>
    </row>
    <row r="568" spans="4:4" ht="12.55">
      <c r="D568" s="248"/>
    </row>
    <row r="569" spans="4:4" ht="12.55">
      <c r="D569" s="248"/>
    </row>
    <row r="570" spans="4:4" ht="12.55">
      <c r="D570" s="248"/>
    </row>
    <row r="571" spans="4:4" ht="12.55">
      <c r="D571" s="248"/>
    </row>
    <row r="572" spans="4:4" ht="12.55">
      <c r="D572" s="248"/>
    </row>
    <row r="573" spans="4:4" ht="12.55">
      <c r="D573" s="248"/>
    </row>
    <row r="574" spans="4:4" ht="12.55">
      <c r="D574" s="248"/>
    </row>
    <row r="575" spans="4:4" ht="12.55">
      <c r="D575" s="248"/>
    </row>
    <row r="576" spans="4:4" ht="12.55">
      <c r="D576" s="248"/>
    </row>
    <row r="577" spans="4:4" ht="12.55">
      <c r="D577" s="248"/>
    </row>
    <row r="578" spans="4:4" ht="12.55">
      <c r="D578" s="248"/>
    </row>
    <row r="579" spans="4:4" ht="12.55">
      <c r="D579" s="248"/>
    </row>
    <row r="580" spans="4:4" ht="12.55">
      <c r="D580" s="248"/>
    </row>
    <row r="581" spans="4:4" ht="12.55">
      <c r="D581" s="248"/>
    </row>
    <row r="582" spans="4:4" ht="12.55">
      <c r="D582" s="248"/>
    </row>
    <row r="583" spans="4:4" ht="12.55">
      <c r="D583" s="248"/>
    </row>
    <row r="584" spans="4:4" ht="12.55">
      <c r="D584" s="248"/>
    </row>
    <row r="585" spans="4:4" ht="12.55">
      <c r="D585" s="248"/>
    </row>
    <row r="586" spans="4:4" ht="12.55">
      <c r="D586" s="248"/>
    </row>
    <row r="587" spans="4:4" ht="12.55">
      <c r="D587" s="248"/>
    </row>
    <row r="588" spans="4:4" ht="12.55">
      <c r="D588" s="248"/>
    </row>
    <row r="589" spans="4:4" ht="12.55">
      <c r="D589" s="248"/>
    </row>
    <row r="590" spans="4:4" ht="12.55">
      <c r="D590" s="248"/>
    </row>
    <row r="591" spans="4:4" ht="12.55">
      <c r="D591" s="248"/>
    </row>
    <row r="592" spans="4:4" ht="12.55">
      <c r="D592" s="248"/>
    </row>
    <row r="593" spans="4:4" ht="12.55">
      <c r="D593" s="248"/>
    </row>
    <row r="594" spans="4:4" ht="12.55">
      <c r="D594" s="248"/>
    </row>
    <row r="595" spans="4:4" ht="12.55">
      <c r="D595" s="248"/>
    </row>
    <row r="596" spans="4:4" ht="12.55">
      <c r="D596" s="248"/>
    </row>
    <row r="597" spans="4:4" ht="12.55">
      <c r="D597" s="248"/>
    </row>
    <row r="598" spans="4:4" ht="12.55">
      <c r="D598" s="248"/>
    </row>
    <row r="599" spans="4:4" ht="12.55">
      <c r="D599" s="248"/>
    </row>
    <row r="600" spans="4:4" ht="12.55">
      <c r="D600" s="248"/>
    </row>
    <row r="601" spans="4:4" ht="12.55">
      <c r="D601" s="248"/>
    </row>
    <row r="602" spans="4:4" ht="12.55">
      <c r="D602" s="248"/>
    </row>
    <row r="603" spans="4:4" ht="12.55">
      <c r="D603" s="248"/>
    </row>
    <row r="604" spans="4:4" ht="12.55">
      <c r="D604" s="248"/>
    </row>
    <row r="605" spans="4:4" ht="12.55">
      <c r="D605" s="248"/>
    </row>
    <row r="606" spans="4:4" ht="12.55">
      <c r="D606" s="248"/>
    </row>
    <row r="607" spans="4:4" ht="12.55">
      <c r="D607" s="248"/>
    </row>
    <row r="608" spans="4:4" ht="12.55">
      <c r="D608" s="248"/>
    </row>
    <row r="609" spans="4:4" ht="12.55">
      <c r="D609" s="248"/>
    </row>
    <row r="610" spans="4:4" ht="12.55">
      <c r="D610" s="248"/>
    </row>
    <row r="611" spans="4:4" ht="12.55">
      <c r="D611" s="248"/>
    </row>
    <row r="612" spans="4:4" ht="12.55">
      <c r="D612" s="248"/>
    </row>
    <row r="613" spans="4:4" ht="12.55">
      <c r="D613" s="248"/>
    </row>
    <row r="614" spans="4:4" ht="12.55">
      <c r="D614" s="248"/>
    </row>
    <row r="615" spans="4:4" ht="12.55">
      <c r="D615" s="248"/>
    </row>
    <row r="616" spans="4:4" ht="12.55">
      <c r="D616" s="248"/>
    </row>
    <row r="617" spans="4:4" ht="12.55">
      <c r="D617" s="248"/>
    </row>
    <row r="618" spans="4:4" ht="12.55">
      <c r="D618" s="248"/>
    </row>
    <row r="619" spans="4:4" ht="12.55">
      <c r="D619" s="248"/>
    </row>
    <row r="620" spans="4:4" ht="12.55">
      <c r="D620" s="248"/>
    </row>
    <row r="621" spans="4:4" ht="12.55">
      <c r="D621" s="248"/>
    </row>
    <row r="622" spans="4:4" ht="12.55">
      <c r="D622" s="248"/>
    </row>
    <row r="623" spans="4:4" ht="12.55">
      <c r="D623" s="248"/>
    </row>
    <row r="624" spans="4:4" ht="12.55">
      <c r="D624" s="248"/>
    </row>
    <row r="625" spans="4:4" ht="12.55">
      <c r="D625" s="248"/>
    </row>
    <row r="626" spans="4:4" ht="12.55">
      <c r="D626" s="248"/>
    </row>
    <row r="627" spans="4:4" ht="12.55">
      <c r="D627" s="248"/>
    </row>
    <row r="628" spans="4:4" ht="12.55">
      <c r="D628" s="248"/>
    </row>
    <row r="629" spans="4:4" ht="12.55">
      <c r="D629" s="248"/>
    </row>
    <row r="630" spans="4:4" ht="12.55">
      <c r="D630" s="248"/>
    </row>
    <row r="631" spans="4:4" ht="12.55">
      <c r="D631" s="248"/>
    </row>
    <row r="632" spans="4:4" ht="12.55">
      <c r="D632" s="248"/>
    </row>
    <row r="633" spans="4:4" ht="12.55">
      <c r="D633" s="248"/>
    </row>
    <row r="634" spans="4:4" ht="12.55">
      <c r="D634" s="248"/>
    </row>
    <row r="635" spans="4:4" ht="12.55">
      <c r="D635" s="248"/>
    </row>
    <row r="636" spans="4:4" ht="12.55">
      <c r="D636" s="248"/>
    </row>
    <row r="637" spans="4:4" ht="12.55">
      <c r="D637" s="248"/>
    </row>
    <row r="638" spans="4:4" ht="12.55">
      <c r="D638" s="248"/>
    </row>
    <row r="639" spans="4:4" ht="12.55">
      <c r="D639" s="248"/>
    </row>
    <row r="640" spans="4:4" ht="12.55">
      <c r="D640" s="248"/>
    </row>
    <row r="641" spans="4:4" ht="12.55">
      <c r="D641" s="248"/>
    </row>
    <row r="642" spans="4:4" ht="12.55">
      <c r="D642" s="248"/>
    </row>
    <row r="643" spans="4:4" ht="12.55">
      <c r="D643" s="248"/>
    </row>
    <row r="644" spans="4:4" ht="12.55">
      <c r="D644" s="248"/>
    </row>
    <row r="645" spans="4:4" ht="12.55">
      <c r="D645" s="248"/>
    </row>
    <row r="646" spans="4:4" ht="12.55">
      <c r="D646" s="248"/>
    </row>
    <row r="647" spans="4:4" ht="12.55">
      <c r="D647" s="248"/>
    </row>
    <row r="648" spans="4:4" ht="12.55">
      <c r="D648" s="248"/>
    </row>
    <row r="649" spans="4:4" ht="12.55">
      <c r="D649" s="248"/>
    </row>
    <row r="650" spans="4:4" ht="12.55">
      <c r="D650" s="248"/>
    </row>
    <row r="651" spans="4:4" ht="12.55">
      <c r="D651" s="248"/>
    </row>
    <row r="652" spans="4:4" ht="12.55">
      <c r="D652" s="248"/>
    </row>
    <row r="653" spans="4:4" ht="12.55">
      <c r="D653" s="248"/>
    </row>
    <row r="654" spans="4:4" ht="12.55">
      <c r="D654" s="248"/>
    </row>
    <row r="655" spans="4:4" ht="12.55">
      <c r="D655" s="248"/>
    </row>
    <row r="656" spans="4:4" ht="12.55">
      <c r="D656" s="248"/>
    </row>
    <row r="657" spans="4:4" ht="12.55">
      <c r="D657" s="248"/>
    </row>
    <row r="658" spans="4:4" ht="12.55">
      <c r="D658" s="248"/>
    </row>
    <row r="659" spans="4:4" ht="12.55">
      <c r="D659" s="248"/>
    </row>
    <row r="660" spans="4:4" ht="12.55">
      <c r="D660" s="248"/>
    </row>
    <row r="661" spans="4:4" ht="12.55">
      <c r="D661" s="248"/>
    </row>
    <row r="662" spans="4:4" ht="12.55">
      <c r="D662" s="248"/>
    </row>
    <row r="663" spans="4:4" ht="12.55">
      <c r="D663" s="248"/>
    </row>
    <row r="664" spans="4:4" ht="12.55">
      <c r="D664" s="248"/>
    </row>
    <row r="665" spans="4:4" ht="12.55">
      <c r="D665" s="248"/>
    </row>
    <row r="666" spans="4:4" ht="12.55">
      <c r="D666" s="248"/>
    </row>
    <row r="667" spans="4:4" ht="12.55">
      <c r="D667" s="248"/>
    </row>
    <row r="668" spans="4:4" ht="12.55">
      <c r="D668" s="248"/>
    </row>
    <row r="669" spans="4:4" ht="12.55">
      <c r="D669" s="248"/>
    </row>
    <row r="670" spans="4:4" ht="12.55">
      <c r="D670" s="248"/>
    </row>
    <row r="671" spans="4:4" ht="12.55">
      <c r="D671" s="248"/>
    </row>
    <row r="672" spans="4:4" ht="12.55">
      <c r="D672" s="248"/>
    </row>
    <row r="673" spans="4:4" ht="12.55">
      <c r="D673" s="248"/>
    </row>
    <row r="674" spans="4:4" ht="12.55">
      <c r="D674" s="248"/>
    </row>
    <row r="675" spans="4:4" ht="12.55">
      <c r="D675" s="248"/>
    </row>
    <row r="676" spans="4:4" ht="12.55">
      <c r="D676" s="248"/>
    </row>
    <row r="677" spans="4:4" ht="12.55">
      <c r="D677" s="248"/>
    </row>
    <row r="678" spans="4:4" ht="12.55">
      <c r="D678" s="248"/>
    </row>
    <row r="679" spans="4:4" ht="12.55">
      <c r="D679" s="248"/>
    </row>
    <row r="680" spans="4:4" ht="12.55">
      <c r="D680" s="248"/>
    </row>
    <row r="681" spans="4:4" ht="12.55">
      <c r="D681" s="248"/>
    </row>
    <row r="682" spans="4:4" ht="12.55">
      <c r="D682" s="248"/>
    </row>
    <row r="683" spans="4:4" ht="12.55">
      <c r="D683" s="248"/>
    </row>
    <row r="684" spans="4:4" ht="12.55">
      <c r="D684" s="248"/>
    </row>
    <row r="685" spans="4:4" ht="12.55">
      <c r="D685" s="248"/>
    </row>
    <row r="686" spans="4:4" ht="12.55">
      <c r="D686" s="248"/>
    </row>
    <row r="687" spans="4:4" ht="12.55">
      <c r="D687" s="248"/>
    </row>
    <row r="688" spans="4:4" ht="12.55">
      <c r="D688" s="248"/>
    </row>
    <row r="689" spans="4:4" ht="12.55">
      <c r="D689" s="248"/>
    </row>
    <row r="690" spans="4:4" ht="12.55">
      <c r="D690" s="248"/>
    </row>
    <row r="691" spans="4:4" ht="12.55">
      <c r="D691" s="248"/>
    </row>
    <row r="692" spans="4:4" ht="12.55">
      <c r="D692" s="248"/>
    </row>
    <row r="693" spans="4:4" ht="12.55">
      <c r="D693" s="248"/>
    </row>
    <row r="694" spans="4:4" ht="12.55">
      <c r="D694" s="248"/>
    </row>
    <row r="695" spans="4:4" ht="12.55">
      <c r="D695" s="248"/>
    </row>
    <row r="696" spans="4:4" ht="12.55">
      <c r="D696" s="248"/>
    </row>
    <row r="697" spans="4:4" ht="12.55">
      <c r="D697" s="248"/>
    </row>
    <row r="698" spans="4:4" ht="12.55">
      <c r="D698" s="248"/>
    </row>
    <row r="699" spans="4:4" ht="12.55">
      <c r="D699" s="248"/>
    </row>
    <row r="700" spans="4:4" ht="12.55">
      <c r="D700" s="248"/>
    </row>
    <row r="701" spans="4:4" ht="12.55">
      <c r="D701" s="248"/>
    </row>
    <row r="702" spans="4:4" ht="12.55">
      <c r="D702" s="248"/>
    </row>
    <row r="703" spans="4:4" ht="12.55">
      <c r="D703" s="248"/>
    </row>
    <row r="704" spans="4:4" ht="12.55">
      <c r="D704" s="248"/>
    </row>
    <row r="705" spans="4:4" ht="12.55">
      <c r="D705" s="248"/>
    </row>
    <row r="706" spans="4:4" ht="12.55">
      <c r="D706" s="248"/>
    </row>
    <row r="707" spans="4:4" ht="12.55">
      <c r="D707" s="248"/>
    </row>
    <row r="708" spans="4:4" ht="12.55">
      <c r="D708" s="248"/>
    </row>
    <row r="709" spans="4:4" ht="12.55">
      <c r="D709" s="248"/>
    </row>
    <row r="710" spans="4:4" ht="12.55">
      <c r="D710" s="248"/>
    </row>
    <row r="711" spans="4:4" ht="12.55">
      <c r="D711" s="248"/>
    </row>
    <row r="712" spans="4:4" ht="12.55">
      <c r="D712" s="248"/>
    </row>
    <row r="713" spans="4:4" ht="12.55">
      <c r="D713" s="248"/>
    </row>
    <row r="714" spans="4:4" ht="12.55">
      <c r="D714" s="248"/>
    </row>
    <row r="715" spans="4:4" ht="12.55">
      <c r="D715" s="248"/>
    </row>
    <row r="716" spans="4:4" ht="12.55">
      <c r="D716" s="248"/>
    </row>
    <row r="717" spans="4:4" ht="12.55">
      <c r="D717" s="248"/>
    </row>
    <row r="718" spans="4:4" ht="12.55">
      <c r="D718" s="248"/>
    </row>
    <row r="719" spans="4:4" ht="12.55">
      <c r="D719" s="248"/>
    </row>
    <row r="720" spans="4:4" ht="12.55">
      <c r="D720" s="248"/>
    </row>
    <row r="721" spans="4:4" ht="12.55">
      <c r="D721" s="248"/>
    </row>
    <row r="722" spans="4:4" ht="12.55">
      <c r="D722" s="248"/>
    </row>
    <row r="723" spans="4:4" ht="12.55">
      <c r="D723" s="248"/>
    </row>
    <row r="724" spans="4:4" ht="12.55">
      <c r="D724" s="248"/>
    </row>
    <row r="725" spans="4:4" ht="12.55">
      <c r="D725" s="248"/>
    </row>
    <row r="726" spans="4:4" ht="12.55">
      <c r="D726" s="248"/>
    </row>
    <row r="727" spans="4:4" ht="12.55">
      <c r="D727" s="248"/>
    </row>
    <row r="728" spans="4:4" ht="12.55">
      <c r="D728" s="248"/>
    </row>
    <row r="729" spans="4:4" ht="12.55">
      <c r="D729" s="248"/>
    </row>
    <row r="730" spans="4:4" ht="12.55">
      <c r="D730" s="248"/>
    </row>
    <row r="731" spans="4:4" ht="12.55">
      <c r="D731" s="248"/>
    </row>
    <row r="732" spans="4:4" ht="12.55">
      <c r="D732" s="248"/>
    </row>
    <row r="733" spans="4:4" ht="12.55">
      <c r="D733" s="248"/>
    </row>
    <row r="734" spans="4:4" ht="12.55">
      <c r="D734" s="248"/>
    </row>
    <row r="735" spans="4:4" ht="12.55">
      <c r="D735" s="248"/>
    </row>
    <row r="736" spans="4:4" ht="12.55">
      <c r="D736" s="248"/>
    </row>
    <row r="737" spans="4:4" ht="12.55">
      <c r="D737" s="248"/>
    </row>
    <row r="738" spans="4:4" ht="12.55">
      <c r="D738" s="248"/>
    </row>
    <row r="739" spans="4:4" ht="12.55">
      <c r="D739" s="248"/>
    </row>
    <row r="740" spans="4:4" ht="12.55">
      <c r="D740" s="248"/>
    </row>
    <row r="741" spans="4:4" ht="12.55">
      <c r="D741" s="248"/>
    </row>
    <row r="742" spans="4:4" ht="12.55">
      <c r="D742" s="248"/>
    </row>
    <row r="743" spans="4:4" ht="12.55">
      <c r="D743" s="248"/>
    </row>
    <row r="744" spans="4:4" ht="12.55">
      <c r="D744" s="248"/>
    </row>
    <row r="745" spans="4:4" ht="12.55">
      <c r="D745" s="248"/>
    </row>
    <row r="746" spans="4:4" ht="12.55">
      <c r="D746" s="248"/>
    </row>
    <row r="747" spans="4:4" ht="12.55">
      <c r="D747" s="248"/>
    </row>
    <row r="748" spans="4:4" ht="12.55">
      <c r="D748" s="248"/>
    </row>
    <row r="749" spans="4:4" ht="12.55">
      <c r="D749" s="248"/>
    </row>
    <row r="750" spans="4:4" ht="12.55">
      <c r="D750" s="248"/>
    </row>
    <row r="751" spans="4:4" ht="12.55">
      <c r="D751" s="248"/>
    </row>
    <row r="752" spans="4:4" ht="12.55">
      <c r="D752" s="248"/>
    </row>
    <row r="753" spans="4:4" ht="12.55">
      <c r="D753" s="248"/>
    </row>
    <row r="754" spans="4:4" ht="12.55">
      <c r="D754" s="248"/>
    </row>
    <row r="755" spans="4:4" ht="12.55">
      <c r="D755" s="248"/>
    </row>
    <row r="756" spans="4:4" ht="12.55">
      <c r="D756" s="248"/>
    </row>
    <row r="757" spans="4:4" ht="12.55">
      <c r="D757" s="248"/>
    </row>
    <row r="758" spans="4:4" ht="12.55">
      <c r="D758" s="248"/>
    </row>
    <row r="759" spans="4:4" ht="12.55">
      <c r="D759" s="248"/>
    </row>
    <row r="760" spans="4:4" ht="12.55">
      <c r="D760" s="248"/>
    </row>
    <row r="761" spans="4:4" ht="12.55">
      <c r="D761" s="248"/>
    </row>
    <row r="762" spans="4:4" ht="12.55">
      <c r="D762" s="248"/>
    </row>
    <row r="763" spans="4:4" ht="12.55">
      <c r="D763" s="248"/>
    </row>
    <row r="764" spans="4:4" ht="12.55">
      <c r="D764" s="248"/>
    </row>
    <row r="765" spans="4:4" ht="12.55">
      <c r="D765" s="248"/>
    </row>
    <row r="766" spans="4:4" ht="12.55">
      <c r="D766" s="248"/>
    </row>
    <row r="767" spans="4:4" ht="12.55">
      <c r="D767" s="248"/>
    </row>
    <row r="768" spans="4:4" ht="12.55">
      <c r="D768" s="248"/>
    </row>
    <row r="769" spans="4:4" ht="12.55">
      <c r="D769" s="248"/>
    </row>
    <row r="770" spans="4:4" ht="12.55">
      <c r="D770" s="248"/>
    </row>
    <row r="771" spans="4:4" ht="12.55">
      <c r="D771" s="248"/>
    </row>
    <row r="772" spans="4:4" ht="12.55">
      <c r="D772" s="248"/>
    </row>
    <row r="773" spans="4:4" ht="12.55">
      <c r="D773" s="248"/>
    </row>
    <row r="774" spans="4:4" ht="12.55">
      <c r="D774" s="248"/>
    </row>
    <row r="775" spans="4:4" ht="12.55">
      <c r="D775" s="248"/>
    </row>
    <row r="776" spans="4:4" ht="12.55">
      <c r="D776" s="248"/>
    </row>
    <row r="777" spans="4:4" ht="12.55">
      <c r="D777" s="248"/>
    </row>
    <row r="778" spans="4:4" ht="12.55">
      <c r="D778" s="248"/>
    </row>
    <row r="779" spans="4:4" ht="12.55">
      <c r="D779" s="248"/>
    </row>
    <row r="780" spans="4:4" ht="12.55">
      <c r="D780" s="248"/>
    </row>
    <row r="781" spans="4:4" ht="12.55">
      <c r="D781" s="248"/>
    </row>
    <row r="782" spans="4:4" ht="12.55">
      <c r="D782" s="248"/>
    </row>
    <row r="783" spans="4:4" ht="12.55">
      <c r="D783" s="248"/>
    </row>
    <row r="784" spans="4:4" ht="12.55">
      <c r="D784" s="248"/>
    </row>
    <row r="785" spans="4:4" ht="12.55">
      <c r="D785" s="248"/>
    </row>
    <row r="786" spans="4:4" ht="12.55">
      <c r="D786" s="248"/>
    </row>
    <row r="787" spans="4:4" ht="12.55">
      <c r="D787" s="248"/>
    </row>
    <row r="788" spans="4:4" ht="12.55">
      <c r="D788" s="248"/>
    </row>
    <row r="789" spans="4:4" ht="12.55">
      <c r="D789" s="248"/>
    </row>
    <row r="790" spans="4:4" ht="12.55">
      <c r="D790" s="248"/>
    </row>
    <row r="791" spans="4:4" ht="12.55">
      <c r="D791" s="248"/>
    </row>
    <row r="792" spans="4:4" ht="12.55">
      <c r="D792" s="248"/>
    </row>
    <row r="793" spans="4:4" ht="12.55">
      <c r="D793" s="248"/>
    </row>
    <row r="794" spans="4:4" ht="12.55">
      <c r="D794" s="248"/>
    </row>
    <row r="795" spans="4:4" ht="12.55">
      <c r="D795" s="248"/>
    </row>
    <row r="796" spans="4:4" ht="12.55">
      <c r="D796" s="248"/>
    </row>
    <row r="797" spans="4:4" ht="12.55">
      <c r="D797" s="248"/>
    </row>
    <row r="798" spans="4:4" ht="12.55">
      <c r="D798" s="248"/>
    </row>
    <row r="799" spans="4:4" ht="12.55">
      <c r="D799" s="248"/>
    </row>
    <row r="800" spans="4:4" ht="12.55">
      <c r="D800" s="248"/>
    </row>
    <row r="801" spans="4:4" ht="12.55">
      <c r="D801" s="248"/>
    </row>
    <row r="802" spans="4:4" ht="12.55">
      <c r="D802" s="248"/>
    </row>
    <row r="803" spans="4:4" ht="12.55">
      <c r="D803" s="248"/>
    </row>
    <row r="804" spans="4:4" ht="12.55">
      <c r="D804" s="248"/>
    </row>
    <row r="805" spans="4:4" ht="12.55">
      <c r="D805" s="248"/>
    </row>
    <row r="806" spans="4:4" ht="12.55">
      <c r="D806" s="248"/>
    </row>
    <row r="807" spans="4:4" ht="12.55">
      <c r="D807" s="248"/>
    </row>
    <row r="808" spans="4:4" ht="12.55">
      <c r="D808" s="248"/>
    </row>
    <row r="809" spans="4:4" ht="12.55">
      <c r="D809" s="248"/>
    </row>
    <row r="810" spans="4:4" ht="12.55">
      <c r="D810" s="248"/>
    </row>
    <row r="811" spans="4:4" ht="12.55">
      <c r="D811" s="248"/>
    </row>
    <row r="812" spans="4:4" ht="12.55">
      <c r="D812" s="248"/>
    </row>
    <row r="813" spans="4:4" ht="12.55">
      <c r="D813" s="248"/>
    </row>
    <row r="814" spans="4:4" ht="12.55">
      <c r="D814" s="248"/>
    </row>
    <row r="815" spans="4:4" ht="12.55">
      <c r="D815" s="248"/>
    </row>
    <row r="816" spans="4:4" ht="12.55">
      <c r="D816" s="248"/>
    </row>
    <row r="817" spans="4:4" ht="12.55">
      <c r="D817" s="248"/>
    </row>
    <row r="818" spans="4:4" ht="12.55">
      <c r="D818" s="248"/>
    </row>
    <row r="819" spans="4:4" ht="12.55">
      <c r="D819" s="248"/>
    </row>
    <row r="820" spans="4:4" ht="12.55">
      <c r="D820" s="248"/>
    </row>
    <row r="821" spans="4:4" ht="12.55">
      <c r="D821" s="248"/>
    </row>
    <row r="822" spans="4:4" ht="12.55">
      <c r="D822" s="248"/>
    </row>
    <row r="823" spans="4:4" ht="12.55">
      <c r="D823" s="248"/>
    </row>
    <row r="824" spans="4:4" ht="12.55">
      <c r="D824" s="248"/>
    </row>
    <row r="825" spans="4:4" ht="12.55">
      <c r="D825" s="248"/>
    </row>
    <row r="826" spans="4:4" ht="12.55">
      <c r="D826" s="248"/>
    </row>
    <row r="827" spans="4:4" ht="12.55">
      <c r="D827" s="248"/>
    </row>
    <row r="828" spans="4:4" ht="12.55">
      <c r="D828" s="248"/>
    </row>
    <row r="829" spans="4:4" ht="12.55">
      <c r="D829" s="248"/>
    </row>
    <row r="830" spans="4:4" ht="12.55">
      <c r="D830" s="248"/>
    </row>
    <row r="831" spans="4:4" ht="12.55">
      <c r="D831" s="248"/>
    </row>
    <row r="832" spans="4:4" ht="12.55">
      <c r="D832" s="248"/>
    </row>
    <row r="833" spans="4:4" ht="12.55">
      <c r="D833" s="248"/>
    </row>
    <row r="834" spans="4:4" ht="12.55">
      <c r="D834" s="248"/>
    </row>
    <row r="835" spans="4:4" ht="12.55">
      <c r="D835" s="248"/>
    </row>
    <row r="836" spans="4:4" ht="12.55">
      <c r="D836" s="248"/>
    </row>
    <row r="837" spans="4:4" ht="12.55">
      <c r="D837" s="248"/>
    </row>
    <row r="838" spans="4:4" ht="12.55">
      <c r="D838" s="248"/>
    </row>
    <row r="839" spans="4:4" ht="12.55">
      <c r="D839" s="248"/>
    </row>
    <row r="840" spans="4:4" ht="12.55">
      <c r="D840" s="248"/>
    </row>
    <row r="841" spans="4:4" ht="12.55">
      <c r="D841" s="248"/>
    </row>
    <row r="842" spans="4:4" ht="12.55">
      <c r="D842" s="248"/>
    </row>
    <row r="843" spans="4:4" ht="12.55">
      <c r="D843" s="248"/>
    </row>
    <row r="844" spans="4:4" ht="12.55">
      <c r="D844" s="248"/>
    </row>
    <row r="845" spans="4:4" ht="12.55">
      <c r="D845" s="248"/>
    </row>
    <row r="846" spans="4:4" ht="12.55">
      <c r="D846" s="248"/>
    </row>
    <row r="847" spans="4:4" ht="12.55">
      <c r="D847" s="248"/>
    </row>
    <row r="848" spans="4:4" ht="12.55">
      <c r="D848" s="248"/>
    </row>
    <row r="849" spans="4:4" ht="12.55">
      <c r="D849" s="248"/>
    </row>
    <row r="850" spans="4:4" ht="12.55">
      <c r="D850" s="248"/>
    </row>
    <row r="851" spans="4:4" ht="12.55">
      <c r="D851" s="248"/>
    </row>
    <row r="852" spans="4:4" ht="12.55">
      <c r="D852" s="248"/>
    </row>
    <row r="853" spans="4:4" ht="12.55">
      <c r="D853" s="248"/>
    </row>
    <row r="854" spans="4:4" ht="12.55">
      <c r="D854" s="248"/>
    </row>
    <row r="855" spans="4:4" ht="12.55">
      <c r="D855" s="248"/>
    </row>
    <row r="856" spans="4:4" ht="12.55">
      <c r="D856" s="248"/>
    </row>
    <row r="857" spans="4:4" ht="12.55">
      <c r="D857" s="248"/>
    </row>
    <row r="858" spans="4:4" ht="12.55">
      <c r="D858" s="248"/>
    </row>
    <row r="859" spans="4:4" ht="12.55">
      <c r="D859" s="248"/>
    </row>
    <row r="860" spans="4:4" ht="12.55">
      <c r="D860" s="248"/>
    </row>
    <row r="861" spans="4:4" ht="12.55">
      <c r="D861" s="248"/>
    </row>
    <row r="862" spans="4:4" ht="12.55">
      <c r="D862" s="248"/>
    </row>
    <row r="863" spans="4:4" ht="12.55">
      <c r="D863" s="248"/>
    </row>
    <row r="864" spans="4:4" ht="12.55">
      <c r="D864" s="248"/>
    </row>
    <row r="865" spans="4:4" ht="12.55">
      <c r="D865" s="248"/>
    </row>
    <row r="866" spans="4:4" ht="12.55">
      <c r="D866" s="248"/>
    </row>
    <row r="867" spans="4:4" ht="12.55">
      <c r="D867" s="248"/>
    </row>
    <row r="868" spans="4:4" ht="12.55">
      <c r="D868" s="248"/>
    </row>
    <row r="869" spans="4:4" ht="12.55">
      <c r="D869" s="248"/>
    </row>
    <row r="870" spans="4:4" ht="12.55">
      <c r="D870" s="248"/>
    </row>
    <row r="871" spans="4:4" ht="12.55">
      <c r="D871" s="248"/>
    </row>
    <row r="872" spans="4:4" ht="12.55">
      <c r="D872" s="248"/>
    </row>
    <row r="873" spans="4:4" ht="12.55">
      <c r="D873" s="248"/>
    </row>
    <row r="874" spans="4:4" ht="12.55">
      <c r="D874" s="248"/>
    </row>
    <row r="875" spans="4:4" ht="12.55">
      <c r="D875" s="248"/>
    </row>
    <row r="876" spans="4:4" ht="12.55">
      <c r="D876" s="248"/>
    </row>
    <row r="877" spans="4:4" ht="12.55">
      <c r="D877" s="248"/>
    </row>
    <row r="878" spans="4:4" ht="12.55">
      <c r="D878" s="248"/>
    </row>
    <row r="879" spans="4:4" ht="12.55">
      <c r="D879" s="248"/>
    </row>
    <row r="880" spans="4:4" ht="12.55">
      <c r="D880" s="248"/>
    </row>
    <row r="881" spans="4:4" ht="12.55">
      <c r="D881" s="248"/>
    </row>
    <row r="882" spans="4:4" ht="12.55">
      <c r="D882" s="248"/>
    </row>
    <row r="883" spans="4:4" ht="12.55">
      <c r="D883" s="248"/>
    </row>
    <row r="884" spans="4:4" ht="12.55">
      <c r="D884" s="248"/>
    </row>
    <row r="885" spans="4:4" ht="12.55">
      <c r="D885" s="248"/>
    </row>
    <row r="886" spans="4:4" ht="12.55">
      <c r="D886" s="248"/>
    </row>
    <row r="887" spans="4:4" ht="12.55">
      <c r="D887" s="248"/>
    </row>
    <row r="888" spans="4:4" ht="12.55">
      <c r="D888" s="248"/>
    </row>
    <row r="889" spans="4:4" ht="12.55">
      <c r="D889" s="248"/>
    </row>
    <row r="890" spans="4:4" ht="12.55">
      <c r="D890" s="248"/>
    </row>
    <row r="891" spans="4:4" ht="12.55">
      <c r="D891" s="248"/>
    </row>
    <row r="892" spans="4:4" ht="12.55">
      <c r="D892" s="248"/>
    </row>
    <row r="893" spans="4:4" ht="12.55">
      <c r="D893" s="248"/>
    </row>
    <row r="894" spans="4:4" ht="12.55">
      <c r="D894" s="248"/>
    </row>
    <row r="895" spans="4:4" ht="12.55">
      <c r="D895" s="248"/>
    </row>
    <row r="896" spans="4:4" ht="12.55">
      <c r="D896" s="248"/>
    </row>
    <row r="897" spans="4:4" ht="12.55">
      <c r="D897" s="248"/>
    </row>
    <row r="898" spans="4:4" ht="12.55">
      <c r="D898" s="248"/>
    </row>
    <row r="899" spans="4:4" ht="12.55">
      <c r="D899" s="248"/>
    </row>
    <row r="900" spans="4:4" ht="12.55">
      <c r="D900" s="248"/>
    </row>
    <row r="901" spans="4:4" ht="12.55">
      <c r="D901" s="248"/>
    </row>
    <row r="902" spans="4:4" ht="12.55">
      <c r="D902" s="248"/>
    </row>
    <row r="903" spans="4:4" ht="12.55">
      <c r="D903" s="248"/>
    </row>
    <row r="904" spans="4:4" ht="12.55">
      <c r="D904" s="248"/>
    </row>
    <row r="905" spans="4:4" ht="12.55">
      <c r="D905" s="248"/>
    </row>
    <row r="906" spans="4:4" ht="12.55">
      <c r="D906" s="248"/>
    </row>
    <row r="907" spans="4:4" ht="12.55">
      <c r="D907" s="248"/>
    </row>
    <row r="908" spans="4:4" ht="12.55">
      <c r="D908" s="248"/>
    </row>
    <row r="909" spans="4:4" ht="12.55">
      <c r="D909" s="248"/>
    </row>
    <row r="910" spans="4:4" ht="12.55">
      <c r="D910" s="248"/>
    </row>
    <row r="911" spans="4:4" ht="12.55">
      <c r="D911" s="248"/>
    </row>
    <row r="912" spans="4:4" ht="12.55">
      <c r="D912" s="248"/>
    </row>
    <row r="913" spans="4:4" ht="12.55">
      <c r="D913" s="248"/>
    </row>
    <row r="914" spans="4:4" ht="12.55">
      <c r="D914" s="248"/>
    </row>
    <row r="915" spans="4:4" ht="12.55">
      <c r="D915" s="248"/>
    </row>
    <row r="916" spans="4:4" ht="12.55">
      <c r="D916" s="248"/>
    </row>
    <row r="917" spans="4:4" ht="12.55">
      <c r="D917" s="248"/>
    </row>
    <row r="918" spans="4:4" ht="12.55">
      <c r="D918" s="248"/>
    </row>
    <row r="919" spans="4:4" ht="12.55">
      <c r="D919" s="248"/>
    </row>
    <row r="920" spans="4:4" ht="12.55">
      <c r="D920" s="248"/>
    </row>
    <row r="921" spans="4:4" ht="12.55">
      <c r="D921" s="248"/>
    </row>
    <row r="922" spans="4:4" ht="12.55">
      <c r="D922" s="248"/>
    </row>
    <row r="923" spans="4:4" ht="12.55">
      <c r="D923" s="248"/>
    </row>
    <row r="924" spans="4:4" ht="12.55">
      <c r="D924" s="248"/>
    </row>
    <row r="925" spans="4:4" ht="12.55">
      <c r="D925" s="248"/>
    </row>
    <row r="926" spans="4:4" ht="12.55">
      <c r="D926" s="248"/>
    </row>
    <row r="927" spans="4:4" ht="12.55">
      <c r="D927" s="248"/>
    </row>
    <row r="928" spans="4:4" ht="12.55">
      <c r="D928" s="248"/>
    </row>
    <row r="929" spans="4:4" ht="12.55">
      <c r="D929" s="248"/>
    </row>
    <row r="930" spans="4:4" ht="12.55">
      <c r="D930" s="248"/>
    </row>
    <row r="931" spans="4:4" ht="12.55">
      <c r="D931" s="248"/>
    </row>
    <row r="932" spans="4:4" ht="12.55">
      <c r="D932" s="248"/>
    </row>
    <row r="933" spans="4:4" ht="12.55">
      <c r="D933" s="248"/>
    </row>
    <row r="934" spans="4:4" ht="12.55">
      <c r="D934" s="248"/>
    </row>
    <row r="935" spans="4:4" ht="12.55">
      <c r="D935" s="248"/>
    </row>
    <row r="936" spans="4:4" ht="12.55">
      <c r="D936" s="248"/>
    </row>
    <row r="937" spans="4:4" ht="12.55">
      <c r="D937" s="248"/>
    </row>
    <row r="938" spans="4:4" ht="12.55">
      <c r="D938" s="248"/>
    </row>
    <row r="939" spans="4:4" ht="12.55">
      <c r="D939" s="248"/>
    </row>
    <row r="940" spans="4:4" ht="12.55">
      <c r="D940" s="248"/>
    </row>
    <row r="941" spans="4:4" ht="12.55">
      <c r="D941" s="248"/>
    </row>
    <row r="942" spans="4:4" ht="12.55">
      <c r="D942" s="248"/>
    </row>
    <row r="943" spans="4:4" ht="12.55">
      <c r="D943" s="248"/>
    </row>
    <row r="944" spans="4:4" ht="12.55">
      <c r="D944" s="248"/>
    </row>
    <row r="945" spans="4:4" ht="12.55">
      <c r="D945" s="248"/>
    </row>
    <row r="946" spans="4:4" ht="12.55">
      <c r="D946" s="248"/>
    </row>
    <row r="947" spans="4:4" ht="12.55">
      <c r="D947" s="248"/>
    </row>
    <row r="948" spans="4:4" ht="12.55">
      <c r="D948" s="248"/>
    </row>
    <row r="949" spans="4:4" ht="12.55">
      <c r="D949" s="248"/>
    </row>
    <row r="950" spans="4:4" ht="12.55">
      <c r="D950" s="248"/>
    </row>
    <row r="951" spans="4:4" ht="12.55">
      <c r="D951" s="248"/>
    </row>
    <row r="952" spans="4:4" ht="12.55">
      <c r="D952" s="248"/>
    </row>
    <row r="953" spans="4:4" ht="12.55">
      <c r="D953" s="248"/>
    </row>
    <row r="954" spans="4:4" ht="12.55">
      <c r="D954" s="248"/>
    </row>
    <row r="955" spans="4:4" ht="12.55">
      <c r="D955" s="248"/>
    </row>
    <row r="956" spans="4:4" ht="12.55">
      <c r="D956" s="248"/>
    </row>
    <row r="957" spans="4:4" ht="12.55">
      <c r="D957" s="248"/>
    </row>
    <row r="958" spans="4:4" ht="12.55">
      <c r="D958" s="248"/>
    </row>
    <row r="959" spans="4:4" ht="12.55">
      <c r="D959" s="248"/>
    </row>
    <row r="960" spans="4:4" ht="12.55">
      <c r="D960" s="248"/>
    </row>
    <row r="961" spans="4:4" ht="12.55">
      <c r="D961" s="248"/>
    </row>
    <row r="962" spans="4:4" ht="12.55">
      <c r="D962" s="248"/>
    </row>
    <row r="963" spans="4:4" ht="12.55">
      <c r="D963" s="248"/>
    </row>
    <row r="964" spans="4:4" ht="12.55">
      <c r="D964" s="248"/>
    </row>
    <row r="965" spans="4:4" ht="12.55">
      <c r="D965" s="248"/>
    </row>
    <row r="966" spans="4:4" ht="12.55">
      <c r="D966" s="248"/>
    </row>
    <row r="967" spans="4:4" ht="12.55">
      <c r="D967" s="248"/>
    </row>
    <row r="968" spans="4:4" ht="12.55">
      <c r="D968" s="248"/>
    </row>
    <row r="969" spans="4:4" ht="12.55">
      <c r="D969" s="248"/>
    </row>
    <row r="970" spans="4:4" ht="12.55">
      <c r="D970" s="248"/>
    </row>
    <row r="971" spans="4:4" ht="12.55">
      <c r="D971" s="248"/>
    </row>
    <row r="972" spans="4:4" ht="12.55">
      <c r="D972" s="248"/>
    </row>
    <row r="973" spans="4:4" ht="12.55">
      <c r="D973" s="248"/>
    </row>
    <row r="974" spans="4:4" ht="12.55">
      <c r="D974" s="248"/>
    </row>
    <row r="975" spans="4:4" ht="12.55">
      <c r="D975" s="248"/>
    </row>
    <row r="976" spans="4:4" ht="12.55">
      <c r="D976" s="248"/>
    </row>
    <row r="977" spans="4:4" ht="12.55">
      <c r="D977" s="248"/>
    </row>
    <row r="978" spans="4:4" ht="12.55">
      <c r="D978" s="248"/>
    </row>
    <row r="979" spans="4:4" ht="12.55">
      <c r="D979" s="248"/>
    </row>
    <row r="980" spans="4:4" ht="12.55">
      <c r="D980" s="248"/>
    </row>
    <row r="981" spans="4:4" ht="12.55">
      <c r="D981" s="248"/>
    </row>
    <row r="982" spans="4:4" ht="12.55">
      <c r="D982" s="248"/>
    </row>
    <row r="983" spans="4:4" ht="12.55">
      <c r="D983" s="248"/>
    </row>
    <row r="984" spans="4:4" ht="12.55">
      <c r="D984" s="248"/>
    </row>
    <row r="985" spans="4:4" ht="12.55">
      <c r="D985" s="248"/>
    </row>
    <row r="986" spans="4:4" ht="12.55">
      <c r="D986" s="248"/>
    </row>
    <row r="987" spans="4:4" ht="12.55">
      <c r="D987" s="248"/>
    </row>
    <row r="988" spans="4:4" ht="12.55">
      <c r="D988" s="248"/>
    </row>
    <row r="989" spans="4:4" ht="12.55">
      <c r="D989" s="248"/>
    </row>
    <row r="990" spans="4:4" ht="12.55">
      <c r="D990" s="248"/>
    </row>
    <row r="991" spans="4:4" ht="12.55">
      <c r="D991" s="2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2018-B</vt:lpstr>
      <vt:lpstr>2018 Overview</vt:lpstr>
      <vt:lpstr>2017-A</vt:lpstr>
      <vt:lpstr>2016-C</vt:lpstr>
      <vt:lpstr>2015-B</vt:lpstr>
      <vt:lpstr>2014-A</vt:lpstr>
      <vt:lpstr>2016 Overview</vt:lpstr>
      <vt:lpstr>2017 Overview</vt:lpstr>
      <vt:lpstr>2018 Communion Assistance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Bryan Gerlach</cp:lastModifiedBy>
  <dcterms:modified xsi:type="dcterms:W3CDTF">2018-05-29T21:54:58Z</dcterms:modified>
</cp:coreProperties>
</file>